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55" tabRatio="1000" firstSheet="1" activeTab="1"/>
  </bookViews>
  <sheets>
    <sheet name="Index" sheetId="42" r:id="rId1"/>
    <sheet name="101" sheetId="3" r:id="rId2"/>
    <sheet name="102(a)" sheetId="39" state="hidden" r:id="rId3"/>
    <sheet name="103" sheetId="25" r:id="rId4"/>
    <sheet name="104" sheetId="2" r:id="rId5"/>
    <sheet name="105" sheetId="48" r:id="rId6"/>
    <sheet name="Proposed Cut" sheetId="60" state="hidden" r:id="rId7"/>
    <sheet name="Departmental Budget" sheetId="59" r:id="rId8"/>
    <sheet name="103 School" sheetId="51" r:id="rId9"/>
    <sheet name="104 School" sheetId="49" r:id="rId10"/>
    <sheet name="105 School" sheetId="50" r:id="rId11"/>
    <sheet name="102(b)" sheetId="47" state="hidden" r:id="rId12"/>
    <sheet name="106" sheetId="54" state="hidden" r:id="rId13"/>
    <sheet name="106(a)" sheetId="55" state="hidden" r:id="rId14"/>
    <sheet name="106(b)" sheetId="56" state="hidden" r:id="rId15"/>
    <sheet name="105(a)" sheetId="46" state="hidden" r:id="rId16"/>
    <sheet name="107" sheetId="38" state="hidden" r:id="rId17"/>
    <sheet name="107 (a)" sheetId="31" state="hidden" r:id="rId18"/>
    <sheet name="107(b)" sheetId="34" state="hidden" r:id="rId19"/>
    <sheet name="107 (c)" sheetId="57" state="hidden" r:id="rId20"/>
    <sheet name="107(d)" sheetId="58" state="hidden" r:id="rId21"/>
    <sheet name="107(e)" sheetId="36" state="hidden" r:id="rId22"/>
    <sheet name="113" sheetId="52" state="hidden" r:id="rId23"/>
    <sheet name="114" sheetId="53" state="hidden" r:id="rId24"/>
    <sheet name="Subjects List" sheetId="24" state="hidden" r:id="rId25"/>
  </sheets>
  <definedNames>
    <definedName name="_xlnm.Print_Area" localSheetId="1">'101'!$A$1:$J$77</definedName>
    <definedName name="_xlnm.Print_Area" localSheetId="2">'102(a)'!$A$1:$D$58</definedName>
    <definedName name="_xlnm.Print_Area" localSheetId="11">'102(b)'!$A$1:$K$53</definedName>
    <definedName name="_xlnm.Print_Area" localSheetId="3">'103'!$A$1:$J$88</definedName>
    <definedName name="_xlnm.Print_Area" localSheetId="4">'104'!$A$1:$J$91</definedName>
    <definedName name="_xlnm.Print_Area" localSheetId="9">'104 School'!$A$2:$P$74</definedName>
    <definedName name="_xlnm.Print_Area" localSheetId="5">'105'!$A$2:$J$174</definedName>
    <definedName name="_xlnm.Print_Area" localSheetId="10">'105 School'!$A$2:$L$164</definedName>
    <definedName name="_xlnm.Print_Area" localSheetId="15">'105(a)'!$A$1:$F$49</definedName>
    <definedName name="_xlnm.Print_Area" localSheetId="12">'106'!$A$1:$K$400</definedName>
    <definedName name="_xlnm.Print_Area" localSheetId="13">'106(a)'!$A$1:$P$35</definedName>
    <definedName name="_xlnm.Print_Area" localSheetId="14">'106(b)'!$A$1:$P$274</definedName>
    <definedName name="_xlnm.Print_Area" localSheetId="16">'107'!$A$1:$M$181</definedName>
    <definedName name="_xlnm.Print_Area" localSheetId="17">'107 (a)'!$A$1:$O$219</definedName>
    <definedName name="_xlnm.Print_Area" localSheetId="19">'107 (c)'!$A$1:$O$219</definedName>
    <definedName name="_xlnm.Print_Area" localSheetId="18">'107(b)'!$A$1:$O$215</definedName>
    <definedName name="_xlnm.Print_Area" localSheetId="20">'107(d)'!$A$1:$O$215</definedName>
    <definedName name="_xlnm.Print_Area" localSheetId="21">'107(e)'!$A$1:$J$42</definedName>
    <definedName name="_xlnm.Print_Area" localSheetId="22">'113'!$A$1:$W$93</definedName>
    <definedName name="_xlnm.Print_Area" localSheetId="23">'114'!$A$1:$W$52</definedName>
    <definedName name="_xlnm.Print_Area" localSheetId="7">'Departmental Budget'!$63:$63</definedName>
    <definedName name="_xlnm.Print_Area" localSheetId="0">Index!$A$1:$C$40</definedName>
    <definedName name="_xlnm.Print_Area" localSheetId="6">'Proposed Cut'!$A$4:$J$43</definedName>
    <definedName name="_xlnm.Print_Area" localSheetId="24">'Subjects List'!$A$1:$G$144</definedName>
    <definedName name="_xlnm.Print_Titles" localSheetId="11">'102(b)'!$11:$12</definedName>
    <definedName name="_xlnm.Print_Titles" localSheetId="3">'103'!$5:$7</definedName>
    <definedName name="_xlnm.Print_Titles" localSheetId="8">'103 School'!$6:$7</definedName>
    <definedName name="_xlnm.Print_Titles" localSheetId="4">'104'!$5:$7</definedName>
    <definedName name="_xlnm.Print_Titles" localSheetId="9">'104 School'!$6:$7</definedName>
    <definedName name="_xlnm.Print_Titles" localSheetId="5">'105'!$5:$7</definedName>
    <definedName name="_xlnm.Print_Titles" localSheetId="10">'105 School'!$6:$7</definedName>
    <definedName name="_xlnm.Print_Titles" localSheetId="15">'105(a)'!$7:$9</definedName>
    <definedName name="_xlnm.Print_Titles" localSheetId="13">'106(a)'!$7:$9</definedName>
    <definedName name="_xlnm.Print_Titles" localSheetId="14">'106(b)'!$6:$8</definedName>
    <definedName name="_xlnm.Print_Titles" localSheetId="16">'107'!$6:$8</definedName>
    <definedName name="_xlnm.Print_Titles" localSheetId="17">'107 (a)'!$6:$8</definedName>
    <definedName name="_xlnm.Print_Titles" localSheetId="18">'107(b)'!$6:$8</definedName>
    <definedName name="_xlnm.Print_Titles" localSheetId="21">'107(e)'!$6:$9</definedName>
    <definedName name="_xlnm.Print_Titles" localSheetId="22">'113'!$5:$10</definedName>
    <definedName name="_xlnm.Print_Titles" localSheetId="23">'114'!$5:$10</definedName>
    <definedName name="_xlnm.Print_Titles" localSheetId="7">'Departmental Budget'!$3:$3</definedName>
    <definedName name="_xlnm.Print_Titles" localSheetId="0">Index!$7:$7</definedName>
    <definedName name="_xlnm.Print_Titles" localSheetId="6">'Proposed Cut'!$6:$7</definedName>
    <definedName name="_xlnm.Print_Titles" localSheetId="24">'Subjects List'!$2:$2</definedName>
  </definedNames>
  <calcPr calcId="124519"/>
</workbook>
</file>

<file path=xl/calcChain.xml><?xml version="1.0" encoding="utf-8"?>
<calcChain xmlns="http://schemas.openxmlformats.org/spreadsheetml/2006/main">
  <c r="O73" i="49"/>
  <c r="P73" s="1"/>
  <c r="P72"/>
  <c r="O72"/>
  <c r="O71"/>
  <c r="P71" s="1"/>
  <c r="P70"/>
  <c r="O70"/>
  <c r="O69"/>
  <c r="P69" s="1"/>
  <c r="P68"/>
  <c r="O68"/>
  <c r="O67"/>
  <c r="P67" s="1"/>
  <c r="P66"/>
  <c r="O66"/>
  <c r="P65"/>
  <c r="O65"/>
  <c r="O64" s="1"/>
  <c r="K164" i="50"/>
  <c r="L164"/>
  <c r="K136"/>
  <c r="L136"/>
  <c r="K106"/>
  <c r="L106"/>
  <c r="K96"/>
  <c r="L96"/>
  <c r="K94"/>
  <c r="L94"/>
  <c r="K56"/>
  <c r="L56"/>
  <c r="K46"/>
  <c r="L46"/>
  <c r="K24"/>
  <c r="L24"/>
  <c r="K19"/>
  <c r="L19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5"/>
  <c r="K95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3"/>
  <c r="K23"/>
  <c r="L22"/>
  <c r="K22"/>
  <c r="L21"/>
  <c r="K21"/>
  <c r="L20"/>
  <c r="K20"/>
  <c r="L18"/>
  <c r="K18"/>
  <c r="L17"/>
  <c r="K17"/>
  <c r="L16"/>
  <c r="K16"/>
  <c r="L15"/>
  <c r="K15"/>
  <c r="L14"/>
  <c r="K14"/>
  <c r="L12"/>
  <c r="K12"/>
  <c r="P64" i="49" l="1"/>
  <c r="G164" i="50" l="1"/>
  <c r="G136"/>
  <c r="G106"/>
  <c r="G96"/>
  <c r="G94"/>
  <c r="G46"/>
  <c r="G24"/>
  <c r="G19"/>
  <c r="J12"/>
  <c r="I12"/>
  <c r="H12"/>
  <c r="G12"/>
  <c r="G56"/>
  <c r="N83" i="2" l="1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167" i="48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5"/>
  <c r="N124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J26" i="50"/>
  <c r="J25"/>
  <c r="M58" i="48" l="1"/>
  <c r="F138" i="50"/>
  <c r="G138" s="1"/>
  <c r="G137"/>
  <c r="F137"/>
  <c r="F107"/>
  <c r="G107" s="1"/>
  <c r="F105"/>
  <c r="G105" s="1"/>
  <c r="G104"/>
  <c r="F92"/>
  <c r="G92" s="1"/>
  <c r="G91"/>
  <c r="F91"/>
  <c r="F90"/>
  <c r="G90" s="1"/>
  <c r="G89"/>
  <c r="F89"/>
  <c r="F88"/>
  <c r="G88" s="1"/>
  <c r="G87"/>
  <c r="F87"/>
  <c r="F86"/>
  <c r="G86" s="1"/>
  <c r="G85"/>
  <c r="F85"/>
  <c r="F84"/>
  <c r="G84" s="1"/>
  <c r="G83"/>
  <c r="F83"/>
  <c r="F82"/>
  <c r="G82" s="1"/>
  <c r="G81"/>
  <c r="F81"/>
  <c r="F80"/>
  <c r="G80" s="1"/>
  <c r="G79"/>
  <c r="F78"/>
  <c r="G78" s="1"/>
  <c r="G77"/>
  <c r="F77"/>
  <c r="F76"/>
  <c r="G76" s="1"/>
  <c r="G75"/>
  <c r="F75"/>
  <c r="F74"/>
  <c r="G74" s="1"/>
  <c r="G73"/>
  <c r="F73"/>
  <c r="F72"/>
  <c r="G72" s="1"/>
  <c r="G71"/>
  <c r="F71"/>
  <c r="F70"/>
  <c r="G70" s="1"/>
  <c r="G69"/>
  <c r="F69"/>
  <c r="F68"/>
  <c r="G68" s="1"/>
  <c r="G67"/>
  <c r="F67"/>
  <c r="F66"/>
  <c r="G66" s="1"/>
  <c r="G65"/>
  <c r="F65"/>
  <c r="F64"/>
  <c r="G64" s="1"/>
  <c r="G63"/>
  <c r="F63"/>
  <c r="F62"/>
  <c r="G62" s="1"/>
  <c r="G61"/>
  <c r="F61"/>
  <c r="F60"/>
  <c r="G60" s="1"/>
  <c r="G59"/>
  <c r="F59"/>
  <c r="F58"/>
  <c r="G58" s="1"/>
  <c r="G57"/>
  <c r="F57"/>
  <c r="F53"/>
  <c r="G53" s="1"/>
  <c r="G52"/>
  <c r="F52"/>
  <c r="G51"/>
  <c r="F26"/>
  <c r="G26" s="1"/>
  <c r="G25"/>
  <c r="F25"/>
  <c r="G22"/>
  <c r="G21"/>
  <c r="F21"/>
  <c r="G20"/>
  <c r="G14"/>
  <c r="F14"/>
  <c r="H73" i="49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56"/>
  <c r="I56" s="1"/>
  <c r="I55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F10" i="2"/>
  <c r="G18"/>
  <c r="F18"/>
  <c r="G15"/>
  <c r="F15"/>
  <c r="G14"/>
  <c r="F14"/>
  <c r="G13"/>
  <c r="F13"/>
  <c r="G12"/>
  <c r="F12"/>
  <c r="G11"/>
  <c r="F11"/>
  <c r="G10"/>
  <c r="G9"/>
  <c r="F9"/>
  <c r="I64" i="49" l="1"/>
  <c r="H64"/>
  <c r="G44" l="1"/>
  <c r="H44" s="1"/>
  <c r="I44" s="1"/>
  <c r="D136" i="50" l="1"/>
  <c r="D164"/>
  <c r="D106"/>
  <c r="D64" i="49" l="1"/>
  <c r="D18"/>
  <c r="H18" s="1"/>
  <c r="I18" s="1"/>
  <c r="D9"/>
  <c r="H9" s="1"/>
  <c r="I9" s="1"/>
  <c r="J17" i="2"/>
  <c r="D8" i="49" l="1"/>
  <c r="D17"/>
  <c r="E9"/>
  <c r="E17"/>
  <c r="E18"/>
  <c r="E12" i="50"/>
  <c r="E19"/>
  <c r="E24"/>
  <c r="E31"/>
  <c r="E38"/>
  <c r="E41"/>
  <c r="E46"/>
  <c r="E56"/>
  <c r="C136"/>
  <c r="C164" s="1"/>
  <c r="C106"/>
  <c r="C96"/>
  <c r="C56"/>
  <c r="C94" s="1"/>
  <c r="C46"/>
  <c r="C24"/>
  <c r="C19"/>
  <c r="C12"/>
  <c r="C64" i="49"/>
  <c r="C44"/>
  <c r="C42" s="1"/>
  <c r="C26"/>
  <c r="D26"/>
  <c r="E28"/>
  <c r="E29"/>
  <c r="E36"/>
  <c r="E37"/>
  <c r="E38"/>
  <c r="E40"/>
  <c r="D42"/>
  <c r="E44"/>
  <c r="E45"/>
  <c r="E47"/>
  <c r="E56"/>
  <c r="C17"/>
  <c r="C8"/>
  <c r="C17" i="2"/>
  <c r="C8"/>
  <c r="M81"/>
  <c r="M79"/>
  <c r="M77"/>
  <c r="M75"/>
  <c r="L56"/>
  <c r="L50"/>
  <c r="M50" s="1"/>
  <c r="L48"/>
  <c r="M48" s="1"/>
  <c r="L47"/>
  <c r="L45"/>
  <c r="L44"/>
  <c r="L40"/>
  <c r="L39"/>
  <c r="L38"/>
  <c r="M38" s="1"/>
  <c r="L37"/>
  <c r="L36"/>
  <c r="L29"/>
  <c r="L28"/>
  <c r="L27"/>
  <c r="L18"/>
  <c r="L17" s="1"/>
  <c r="L15"/>
  <c r="L10"/>
  <c r="M10" s="1"/>
  <c r="M85"/>
  <c r="M83"/>
  <c r="M82"/>
  <c r="M80"/>
  <c r="M78"/>
  <c r="M76"/>
  <c r="M73"/>
  <c r="M72"/>
  <c r="M71"/>
  <c r="M70"/>
  <c r="M69"/>
  <c r="M68"/>
  <c r="M67"/>
  <c r="M66"/>
  <c r="M65"/>
  <c r="M64"/>
  <c r="M63"/>
  <c r="M61"/>
  <c r="M60"/>
  <c r="M59"/>
  <c r="M58"/>
  <c r="M57"/>
  <c r="M56"/>
  <c r="M54"/>
  <c r="M53"/>
  <c r="M52"/>
  <c r="M51"/>
  <c r="M49"/>
  <c r="M47"/>
  <c r="M46"/>
  <c r="M45"/>
  <c r="M44"/>
  <c r="M43"/>
  <c r="M41"/>
  <c r="M40"/>
  <c r="M39"/>
  <c r="M37"/>
  <c r="M36"/>
  <c r="M35"/>
  <c r="M34"/>
  <c r="M33"/>
  <c r="M32"/>
  <c r="M31"/>
  <c r="M30"/>
  <c r="M29"/>
  <c r="M28"/>
  <c r="M27"/>
  <c r="M25"/>
  <c r="M23"/>
  <c r="M22"/>
  <c r="M21"/>
  <c r="M20"/>
  <c r="M19"/>
  <c r="M18"/>
  <c r="M16"/>
  <c r="M15"/>
  <c r="M14"/>
  <c r="M13"/>
  <c r="M12"/>
  <c r="M11"/>
  <c r="L9"/>
  <c r="L8" s="1"/>
  <c r="E26" i="49" l="1"/>
  <c r="C62"/>
  <c r="C74" s="1"/>
  <c r="C24"/>
  <c r="E42"/>
  <c r="E94" i="50"/>
  <c r="M9" i="2"/>
  <c r="L24"/>
  <c r="M17"/>
  <c r="C24"/>
  <c r="L42"/>
  <c r="L26"/>
  <c r="D62" i="49"/>
  <c r="D74" s="1"/>
  <c r="D24"/>
  <c r="L74" i="2"/>
  <c r="E62" i="49" l="1"/>
  <c r="L62" i="2"/>
  <c r="L84" s="1"/>
  <c r="M27" i="48" l="1"/>
  <c r="M26"/>
  <c r="M30" l="1"/>
  <c r="J96" i="50" l="1"/>
  <c r="J56"/>
  <c r="J46"/>
  <c r="J24"/>
  <c r="J19"/>
  <c r="N64" i="49"/>
  <c r="N42"/>
  <c r="N26"/>
  <c r="N17"/>
  <c r="N8"/>
  <c r="J94" i="50" l="1"/>
  <c r="N24" i="49"/>
  <c r="N62"/>
  <c r="N74" l="1"/>
  <c r="N88" i="2" l="1"/>
  <c r="N86"/>
  <c r="J8"/>
  <c r="M74" l="1"/>
  <c r="M42"/>
  <c r="M26"/>
  <c r="J24"/>
  <c r="M24" s="1"/>
  <c r="H136" i="50"/>
  <c r="H106"/>
  <c r="H96"/>
  <c r="H56"/>
  <c r="H46"/>
  <c r="H24"/>
  <c r="H19"/>
  <c r="L42" i="49"/>
  <c r="L64"/>
  <c r="L26"/>
  <c r="L17"/>
  <c r="L8"/>
  <c r="H17" i="2"/>
  <c r="H8"/>
  <c r="J9" i="49"/>
  <c r="J8" s="1"/>
  <c r="J18"/>
  <c r="J17" s="1"/>
  <c r="J28"/>
  <c r="J29"/>
  <c r="J36"/>
  <c r="J37"/>
  <c r="J38"/>
  <c r="J40"/>
  <c r="J44"/>
  <c r="J45"/>
  <c r="J47"/>
  <c r="J56"/>
  <c r="J73"/>
  <c r="J64" s="1"/>
  <c r="J42" l="1"/>
  <c r="J62" s="1"/>
  <c r="J74" s="1"/>
  <c r="J26"/>
  <c r="J24"/>
  <c r="L24"/>
  <c r="H94" i="50"/>
  <c r="H164" s="1"/>
  <c r="L62" i="49"/>
  <c r="H24" i="2"/>
  <c r="L74" i="49" l="1"/>
  <c r="M62" i="2"/>
  <c r="J78" i="49"/>
  <c r="M84" i="2" l="1"/>
  <c r="N87"/>
  <c r="E26" i="60"/>
  <c r="D26"/>
  <c r="C26"/>
  <c r="E29"/>
  <c r="D29"/>
  <c r="C29"/>
  <c r="E24"/>
  <c r="D24"/>
  <c r="C24"/>
  <c r="C41"/>
  <c r="J40"/>
  <c r="J36"/>
  <c r="J34"/>
  <c r="J32"/>
  <c r="J30"/>
  <c r="J28"/>
  <c r="J27"/>
  <c r="J22"/>
  <c r="J15"/>
  <c r="H40"/>
  <c r="H30"/>
  <c r="H28"/>
  <c r="H27"/>
  <c r="H15"/>
  <c r="F39"/>
  <c r="G39" s="1"/>
  <c r="I39" s="1"/>
  <c r="O39" s="1"/>
  <c r="F38"/>
  <c r="G38" s="1"/>
  <c r="I38" s="1"/>
  <c r="O38" s="1"/>
  <c r="G37"/>
  <c r="I37" s="1"/>
  <c r="O37" s="1"/>
  <c r="O36"/>
  <c r="E36"/>
  <c r="G36" s="1"/>
  <c r="H36" s="1"/>
  <c r="G35"/>
  <c r="I35" s="1"/>
  <c r="J35" s="1"/>
  <c r="F35"/>
  <c r="G34"/>
  <c r="F34" s="1"/>
  <c r="E33"/>
  <c r="F33" s="1"/>
  <c r="G33" s="1"/>
  <c r="D33"/>
  <c r="D41" s="1"/>
  <c r="O32"/>
  <c r="F32"/>
  <c r="G31"/>
  <c r="F31" s="1"/>
  <c r="F30"/>
  <c r="F28"/>
  <c r="F27"/>
  <c r="G23"/>
  <c r="F23" s="1"/>
  <c r="F22"/>
  <c r="G22" s="1"/>
  <c r="H22" s="1"/>
  <c r="G21"/>
  <c r="F21" s="1"/>
  <c r="G20"/>
  <c r="F20" s="1"/>
  <c r="F24" s="1"/>
  <c r="I17"/>
  <c r="J17" s="1"/>
  <c r="G17"/>
  <c r="F17" s="1"/>
  <c r="I16"/>
  <c r="J16" s="1"/>
  <c r="G16"/>
  <c r="F16" s="1"/>
  <c r="I14"/>
  <c r="J14" s="1"/>
  <c r="G14"/>
  <c r="F14" s="1"/>
  <c r="I13"/>
  <c r="J13" s="1"/>
  <c r="G13"/>
  <c r="F13" s="1"/>
  <c r="I12"/>
  <c r="J12" s="1"/>
  <c r="G12"/>
  <c r="H12" s="1"/>
  <c r="E12"/>
  <c r="E18" s="1"/>
  <c r="D12"/>
  <c r="D18" s="1"/>
  <c r="C12"/>
  <c r="I11"/>
  <c r="J11" s="1"/>
  <c r="G11"/>
  <c r="F11" s="1"/>
  <c r="Q11" s="1"/>
  <c r="C11"/>
  <c r="C18" s="1"/>
  <c r="I10"/>
  <c r="J10" s="1"/>
  <c r="G10"/>
  <c r="F10" s="1"/>
  <c r="Q10" s="1"/>
  <c r="G29"/>
  <c r="D42" l="1"/>
  <c r="F41"/>
  <c r="E41"/>
  <c r="E42" s="1"/>
  <c r="C42"/>
  <c r="G24"/>
  <c r="I33"/>
  <c r="H33"/>
  <c r="J18"/>
  <c r="H11"/>
  <c r="H31"/>
  <c r="H35"/>
  <c r="H39"/>
  <c r="H16"/>
  <c r="H34"/>
  <c r="H38"/>
  <c r="J39"/>
  <c r="I18"/>
  <c r="H17"/>
  <c r="H13"/>
  <c r="H29"/>
  <c r="H37"/>
  <c r="J38"/>
  <c r="I31"/>
  <c r="H10"/>
  <c r="H18" s="1"/>
  <c r="H14"/>
  <c r="H20"/>
  <c r="J37"/>
  <c r="G18"/>
  <c r="H21"/>
  <c r="H23"/>
  <c r="Q33"/>
  <c r="Q37"/>
  <c r="Q36"/>
  <c r="Q39"/>
  <c r="Q38"/>
  <c r="G32"/>
  <c r="G41" s="1"/>
  <c r="I20"/>
  <c r="I23"/>
  <c r="J23" s="1"/>
  <c r="I21"/>
  <c r="J21" s="1"/>
  <c r="F12"/>
  <c r="Q12" s="1"/>
  <c r="H41" l="1"/>
  <c r="H42" s="1"/>
  <c r="G42"/>
  <c r="J20"/>
  <c r="J24" s="1"/>
  <c r="I24"/>
  <c r="H24"/>
  <c r="J31"/>
  <c r="J41" s="1"/>
  <c r="J42" s="1"/>
  <c r="I41"/>
  <c r="O33"/>
  <c r="J33"/>
  <c r="Q32"/>
  <c r="H32"/>
  <c r="F18"/>
  <c r="F42" s="1"/>
  <c r="I42" l="1"/>
  <c r="N126" i="48" l="1"/>
  <c r="O225" i="31" l="1"/>
  <c r="N225"/>
  <c r="N224"/>
  <c r="N223"/>
  <c r="N222"/>
  <c r="N221"/>
  <c r="P98" i="48" l="1"/>
  <c r="P84"/>
  <c r="P124"/>
  <c r="P79" i="2"/>
  <c r="P76"/>
  <c r="P63"/>
  <c r="P61"/>
  <c r="P60"/>
  <c r="P59"/>
  <c r="P58"/>
  <c r="P57"/>
  <c r="P54"/>
  <c r="P53"/>
  <c r="P52"/>
  <c r="P51"/>
  <c r="P49"/>
  <c r="P46"/>
  <c r="P43"/>
  <c r="P41"/>
  <c r="P35"/>
  <c r="P33"/>
  <c r="P32"/>
  <c r="P31"/>
  <c r="P25"/>
  <c r="P23"/>
  <c r="P22"/>
  <c r="P21"/>
  <c r="P20"/>
  <c r="P19"/>
  <c r="P16"/>
  <c r="P14"/>
  <c r="P13"/>
  <c r="P12"/>
  <c r="P11"/>
  <c r="P126" i="48"/>
  <c r="P169"/>
  <c r="P167"/>
  <c r="P166"/>
  <c r="P158"/>
  <c r="P157"/>
  <c r="P154"/>
  <c r="P153"/>
  <c r="P152"/>
  <c r="P151"/>
  <c r="P149"/>
  <c r="P148"/>
  <c r="P146"/>
  <c r="P145"/>
  <c r="P144"/>
  <c r="P143"/>
  <c r="P138"/>
  <c r="P137"/>
  <c r="P135"/>
  <c r="P134"/>
  <c r="P133"/>
  <c r="P130"/>
  <c r="P125"/>
  <c r="P122"/>
  <c r="P121"/>
  <c r="P118"/>
  <c r="P117"/>
  <c r="P116"/>
  <c r="P112"/>
  <c r="P111"/>
  <c r="P108"/>
  <c r="P105"/>
  <c r="P104"/>
  <c r="P103"/>
  <c r="P102"/>
  <c r="P101"/>
  <c r="P100"/>
  <c r="P99"/>
  <c r="P96"/>
  <c r="P83"/>
  <c r="P82"/>
  <c r="P81"/>
  <c r="P78"/>
  <c r="P75"/>
  <c r="P74"/>
  <c r="P73"/>
  <c r="P69"/>
  <c r="P68"/>
  <c r="P67"/>
  <c r="P66"/>
  <c r="P49"/>
  <c r="P48"/>
  <c r="P46"/>
  <c r="P45"/>
  <c r="P44"/>
  <c r="P43"/>
  <c r="P40"/>
  <c r="P38"/>
  <c r="P37"/>
  <c r="P36"/>
  <c r="P35"/>
  <c r="P34"/>
  <c r="P33"/>
  <c r="P29"/>
  <c r="P28"/>
  <c r="P25"/>
  <c r="P23"/>
  <c r="P21"/>
  <c r="P18"/>
  <c r="P14"/>
  <c r="F26" i="60"/>
  <c r="P83" i="2"/>
  <c r="P55" i="48"/>
  <c r="P87" l="1"/>
  <c r="P22"/>
  <c r="P65"/>
  <c r="P132"/>
  <c r="P59"/>
  <c r="P92"/>
  <c r="P13" l="1"/>
  <c r="G26" i="60"/>
  <c r="H26" l="1"/>
  <c r="Q26"/>
  <c r="I29"/>
  <c r="J29" s="1"/>
  <c r="P164" i="48" l="1"/>
  <c r="E161" i="50" l="1"/>
  <c r="F161"/>
  <c r="E152"/>
  <c r="F152"/>
  <c r="E147"/>
  <c r="F147"/>
  <c r="E136"/>
  <c r="E133"/>
  <c r="F133"/>
  <c r="E125"/>
  <c r="F125"/>
  <c r="E122"/>
  <c r="F122"/>
  <c r="F24"/>
  <c r="E119"/>
  <c r="F119"/>
  <c r="E106"/>
  <c r="E96"/>
  <c r="F41"/>
  <c r="F38"/>
  <c r="F31"/>
  <c r="E9"/>
  <c r="F9"/>
  <c r="G42" i="49"/>
  <c r="G26"/>
  <c r="G17"/>
  <c r="G8"/>
  <c r="P162" i="48"/>
  <c r="P62"/>
  <c r="P53"/>
  <c r="P51"/>
  <c r="P31"/>
  <c r="P30"/>
  <c r="P27"/>
  <c r="P34" i="2"/>
  <c r="F19" i="50" l="1"/>
  <c r="E164"/>
  <c r="G24" i="49"/>
  <c r="G64"/>
  <c r="P93" i="48"/>
  <c r="P89"/>
  <c r="G62" i="49"/>
  <c r="F96" i="50"/>
  <c r="F46"/>
  <c r="E17" i="2"/>
  <c r="E8"/>
  <c r="G74" i="49" l="1"/>
  <c r="E24" i="2"/>
  <c r="J17" i="36"/>
  <c r="J15"/>
  <c r="J14"/>
  <c r="J12"/>
  <c r="E17" i="47"/>
  <c r="E16"/>
  <c r="E15"/>
  <c r="E14"/>
  <c r="D14"/>
  <c r="C17"/>
  <c r="C16"/>
  <c r="C15"/>
  <c r="C14"/>
  <c r="H54" i="39"/>
  <c r="I22" i="50"/>
  <c r="F18" i="46"/>
  <c r="D50" i="39"/>
  <c r="D52" s="1"/>
  <c r="J27" i="36" l="1"/>
  <c r="H27"/>
  <c r="H13" l="1"/>
  <c r="H12"/>
  <c r="G158" i="58" l="1"/>
  <c r="C158"/>
  <c r="O172" i="57"/>
  <c r="O172" i="31"/>
  <c r="N123" i="48" l="1"/>
  <c r="P123"/>
  <c r="Q67" i="31"/>
  <c r="Q51"/>
  <c r="Q43"/>
  <c r="Q34"/>
  <c r="Q17"/>
  <c r="C10" l="1"/>
  <c r="C51" i="39" l="1"/>
  <c r="C52" s="1"/>
  <c r="D47" i="31" l="1"/>
  <c r="C47"/>
  <c r="G72"/>
  <c r="F72"/>
  <c r="D72"/>
  <c r="C72"/>
  <c r="I58"/>
  <c r="J16" i="36" l="1"/>
  <c r="H16"/>
  <c r="G31" i="31"/>
  <c r="F31"/>
  <c r="D31"/>
  <c r="C31"/>
  <c r="J18"/>
  <c r="I18"/>
  <c r="J11" i="36"/>
  <c r="H11"/>
  <c r="E13" i="57" l="1"/>
  <c r="C13" i="58"/>
  <c r="M177"/>
  <c r="L177"/>
  <c r="J177"/>
  <c r="I177"/>
  <c r="G177"/>
  <c r="F177"/>
  <c r="D177"/>
  <c r="C177"/>
  <c r="M176"/>
  <c r="L176"/>
  <c r="J176"/>
  <c r="I176"/>
  <c r="G176"/>
  <c r="F176"/>
  <c r="D176"/>
  <c r="C176"/>
  <c r="M175"/>
  <c r="L175"/>
  <c r="J175"/>
  <c r="I175"/>
  <c r="G175"/>
  <c r="F175"/>
  <c r="D175"/>
  <c r="C175"/>
  <c r="M174"/>
  <c r="L174"/>
  <c r="J174"/>
  <c r="I174"/>
  <c r="G174"/>
  <c r="D174"/>
  <c r="C174"/>
  <c r="M173"/>
  <c r="L173"/>
  <c r="J173"/>
  <c r="I173"/>
  <c r="G173"/>
  <c r="D173"/>
  <c r="M172"/>
  <c r="L172"/>
  <c r="J172"/>
  <c r="I172"/>
  <c r="G172"/>
  <c r="F172"/>
  <c r="D172"/>
  <c r="M169"/>
  <c r="L169"/>
  <c r="J169"/>
  <c r="I169"/>
  <c r="G169"/>
  <c r="D169"/>
  <c r="M168"/>
  <c r="L168"/>
  <c r="J168"/>
  <c r="I168"/>
  <c r="G168"/>
  <c r="F168"/>
  <c r="D168"/>
  <c r="M167"/>
  <c r="L167"/>
  <c r="J167"/>
  <c r="I167"/>
  <c r="G167"/>
  <c r="F167"/>
  <c r="D167"/>
  <c r="M166"/>
  <c r="L166"/>
  <c r="J166"/>
  <c r="I166"/>
  <c r="G166"/>
  <c r="D166"/>
  <c r="M165"/>
  <c r="L165"/>
  <c r="J165"/>
  <c r="I165"/>
  <c r="G165"/>
  <c r="F165"/>
  <c r="D165"/>
  <c r="C165"/>
  <c r="M164"/>
  <c r="L164"/>
  <c r="J164"/>
  <c r="I164"/>
  <c r="G164"/>
  <c r="F164"/>
  <c r="D164"/>
  <c r="C164"/>
  <c r="M163"/>
  <c r="L163"/>
  <c r="J163"/>
  <c r="I163"/>
  <c r="G163"/>
  <c r="F163"/>
  <c r="D163"/>
  <c r="M162"/>
  <c r="L162"/>
  <c r="J162"/>
  <c r="I162"/>
  <c r="G162"/>
  <c r="F162"/>
  <c r="D162"/>
  <c r="C162"/>
  <c r="M161"/>
  <c r="L161"/>
  <c r="J161"/>
  <c r="I161"/>
  <c r="G161"/>
  <c r="F161"/>
  <c r="D161"/>
  <c r="M160"/>
  <c r="L160"/>
  <c r="J160"/>
  <c r="I160"/>
  <c r="G160"/>
  <c r="F160"/>
  <c r="D160"/>
  <c r="C160"/>
  <c r="M159"/>
  <c r="L159"/>
  <c r="J159"/>
  <c r="I159"/>
  <c r="G159"/>
  <c r="F159"/>
  <c r="D159"/>
  <c r="M155"/>
  <c r="L155"/>
  <c r="J155"/>
  <c r="I155"/>
  <c r="G155"/>
  <c r="F155"/>
  <c r="D155"/>
  <c r="C155"/>
  <c r="M154"/>
  <c r="L154"/>
  <c r="J154"/>
  <c r="I154"/>
  <c r="G154"/>
  <c r="F154"/>
  <c r="D154"/>
  <c r="C154"/>
  <c r="M153"/>
  <c r="L153"/>
  <c r="J153"/>
  <c r="I153"/>
  <c r="G153"/>
  <c r="F153"/>
  <c r="D153"/>
  <c r="C153"/>
  <c r="M152"/>
  <c r="L152"/>
  <c r="J152"/>
  <c r="I152"/>
  <c r="G152"/>
  <c r="F152"/>
  <c r="D152"/>
  <c r="M151"/>
  <c r="L151"/>
  <c r="J151"/>
  <c r="I151"/>
  <c r="G151"/>
  <c r="D151"/>
  <c r="M150"/>
  <c r="L150"/>
  <c r="J150"/>
  <c r="I150"/>
  <c r="G150"/>
  <c r="D150"/>
  <c r="M147"/>
  <c r="L147"/>
  <c r="J147"/>
  <c r="I147"/>
  <c r="G147"/>
  <c r="F147"/>
  <c r="D147"/>
  <c r="C147"/>
  <c r="M146"/>
  <c r="L146"/>
  <c r="J146"/>
  <c r="I146"/>
  <c r="G146"/>
  <c r="F146"/>
  <c r="D146"/>
  <c r="C146"/>
  <c r="M145"/>
  <c r="L145"/>
  <c r="J145"/>
  <c r="I145"/>
  <c r="G145"/>
  <c r="F145"/>
  <c r="D145"/>
  <c r="C145"/>
  <c r="M144"/>
  <c r="L144"/>
  <c r="J144"/>
  <c r="I144"/>
  <c r="G144"/>
  <c r="F144"/>
  <c r="D144"/>
  <c r="C144"/>
  <c r="M143"/>
  <c r="L143"/>
  <c r="J143"/>
  <c r="I143"/>
  <c r="G143"/>
  <c r="F143"/>
  <c r="D143"/>
  <c r="C143"/>
  <c r="M142"/>
  <c r="L142"/>
  <c r="J142"/>
  <c r="I142"/>
  <c r="G142"/>
  <c r="D142"/>
  <c r="M141"/>
  <c r="L141"/>
  <c r="J141"/>
  <c r="I141"/>
  <c r="G141"/>
  <c r="F141"/>
  <c r="D141"/>
  <c r="C141"/>
  <c r="M138"/>
  <c r="L138"/>
  <c r="J138"/>
  <c r="I138"/>
  <c r="G138"/>
  <c r="F138"/>
  <c r="D138"/>
  <c r="C138"/>
  <c r="M137"/>
  <c r="L137"/>
  <c r="J137"/>
  <c r="I137"/>
  <c r="G137"/>
  <c r="D137"/>
  <c r="M136"/>
  <c r="L136"/>
  <c r="J136"/>
  <c r="I136"/>
  <c r="G136"/>
  <c r="D136"/>
  <c r="M135"/>
  <c r="L135"/>
  <c r="J135"/>
  <c r="I135"/>
  <c r="G135"/>
  <c r="F135"/>
  <c r="D135"/>
  <c r="C135"/>
  <c r="M134"/>
  <c r="L134"/>
  <c r="J134"/>
  <c r="I134"/>
  <c r="G134"/>
  <c r="F134"/>
  <c r="D134"/>
  <c r="C134"/>
  <c r="M133"/>
  <c r="L133"/>
  <c r="J133"/>
  <c r="I133"/>
  <c r="G133"/>
  <c r="F133"/>
  <c r="D133"/>
  <c r="C133"/>
  <c r="M132"/>
  <c r="L132"/>
  <c r="J132"/>
  <c r="I132"/>
  <c r="G132"/>
  <c r="F132"/>
  <c r="D132"/>
  <c r="C132"/>
  <c r="M131"/>
  <c r="L131"/>
  <c r="J131"/>
  <c r="I131"/>
  <c r="G131"/>
  <c r="F131"/>
  <c r="D131"/>
  <c r="M130"/>
  <c r="L130"/>
  <c r="J130"/>
  <c r="I130"/>
  <c r="G130"/>
  <c r="D130"/>
  <c r="M129"/>
  <c r="L129"/>
  <c r="J129"/>
  <c r="I129"/>
  <c r="G129"/>
  <c r="F129"/>
  <c r="D129"/>
  <c r="C129"/>
  <c r="M128"/>
  <c r="L128"/>
  <c r="J128"/>
  <c r="I128"/>
  <c r="G128"/>
  <c r="F128"/>
  <c r="D128"/>
  <c r="M127"/>
  <c r="L127"/>
  <c r="J127"/>
  <c r="I127"/>
  <c r="G127"/>
  <c r="F127"/>
  <c r="D127"/>
  <c r="C127"/>
  <c r="M126"/>
  <c r="L126"/>
  <c r="J126"/>
  <c r="I126"/>
  <c r="G126"/>
  <c r="F126"/>
  <c r="D126"/>
  <c r="C126"/>
  <c r="M125"/>
  <c r="L125"/>
  <c r="J125"/>
  <c r="I125"/>
  <c r="G125"/>
  <c r="F125"/>
  <c r="D125"/>
  <c r="C125"/>
  <c r="M124"/>
  <c r="L124"/>
  <c r="J124"/>
  <c r="I124"/>
  <c r="G124"/>
  <c r="F124"/>
  <c r="D124"/>
  <c r="M121"/>
  <c r="L121"/>
  <c r="J121"/>
  <c r="I121"/>
  <c r="G121"/>
  <c r="F121"/>
  <c r="D121"/>
  <c r="C121"/>
  <c r="M120"/>
  <c r="L120"/>
  <c r="J120"/>
  <c r="I120"/>
  <c r="G120"/>
  <c r="F120"/>
  <c r="D120"/>
  <c r="C120"/>
  <c r="M119"/>
  <c r="L119"/>
  <c r="J119"/>
  <c r="I119"/>
  <c r="G119"/>
  <c r="F119"/>
  <c r="D119"/>
  <c r="C119"/>
  <c r="M118"/>
  <c r="L118"/>
  <c r="J118"/>
  <c r="I118"/>
  <c r="G118"/>
  <c r="F118"/>
  <c r="D118"/>
  <c r="M117"/>
  <c r="L117"/>
  <c r="J117"/>
  <c r="I117"/>
  <c r="G117"/>
  <c r="F117"/>
  <c r="D117"/>
  <c r="M116"/>
  <c r="L116"/>
  <c r="J116"/>
  <c r="I116"/>
  <c r="G116"/>
  <c r="F116"/>
  <c r="D116"/>
  <c r="C116"/>
  <c r="M213"/>
  <c r="L213"/>
  <c r="J213"/>
  <c r="I213"/>
  <c r="K213" s="1"/>
  <c r="G213"/>
  <c r="F213"/>
  <c r="D213"/>
  <c r="C213"/>
  <c r="N212"/>
  <c r="O212" s="1"/>
  <c r="K212"/>
  <c r="H212"/>
  <c r="E212"/>
  <c r="N211"/>
  <c r="O211" s="1"/>
  <c r="K211"/>
  <c r="H211"/>
  <c r="E211"/>
  <c r="N210"/>
  <c r="O210" s="1"/>
  <c r="K210"/>
  <c r="H210"/>
  <c r="E210"/>
  <c r="N209"/>
  <c r="O209" s="1"/>
  <c r="K209"/>
  <c r="H209"/>
  <c r="E209"/>
  <c r="N208"/>
  <c r="O208" s="1"/>
  <c r="K208"/>
  <c r="H208"/>
  <c r="E208"/>
  <c r="N207"/>
  <c r="O207" s="1"/>
  <c r="K207"/>
  <c r="H207"/>
  <c r="E207"/>
  <c r="M205"/>
  <c r="L205"/>
  <c r="J205"/>
  <c r="I205"/>
  <c r="G205"/>
  <c r="F205"/>
  <c r="D205"/>
  <c r="C205"/>
  <c r="N204"/>
  <c r="O204" s="1"/>
  <c r="K204"/>
  <c r="H204"/>
  <c r="E204"/>
  <c r="N203"/>
  <c r="O203" s="1"/>
  <c r="K203"/>
  <c r="H203"/>
  <c r="E203"/>
  <c r="N202"/>
  <c r="O202" s="1"/>
  <c r="K202"/>
  <c r="H202"/>
  <c r="E202"/>
  <c r="O201"/>
  <c r="N201"/>
  <c r="K201"/>
  <c r="H201"/>
  <c r="E201"/>
  <c r="N200"/>
  <c r="O200" s="1"/>
  <c r="K200"/>
  <c r="H200"/>
  <c r="E200"/>
  <c r="N199"/>
  <c r="O199" s="1"/>
  <c r="K199"/>
  <c r="H199"/>
  <c r="E199"/>
  <c r="M197"/>
  <c r="L197"/>
  <c r="J197"/>
  <c r="I197"/>
  <c r="K197" s="1"/>
  <c r="G197"/>
  <c r="F197"/>
  <c r="D197"/>
  <c r="C197"/>
  <c r="E197" s="1"/>
  <c r="N196"/>
  <c r="O196" s="1"/>
  <c r="K196"/>
  <c r="H196"/>
  <c r="E196"/>
  <c r="N195"/>
  <c r="O195" s="1"/>
  <c r="K195"/>
  <c r="H195"/>
  <c r="E195"/>
  <c r="N194"/>
  <c r="O194" s="1"/>
  <c r="K194"/>
  <c r="H194"/>
  <c r="E194"/>
  <c r="N193"/>
  <c r="O193" s="1"/>
  <c r="K193"/>
  <c r="H193"/>
  <c r="E193"/>
  <c r="N192"/>
  <c r="O192" s="1"/>
  <c r="K192"/>
  <c r="H192"/>
  <c r="E192"/>
  <c r="N191"/>
  <c r="O191" s="1"/>
  <c r="K191"/>
  <c r="H191"/>
  <c r="E191"/>
  <c r="M189"/>
  <c r="L189"/>
  <c r="J189"/>
  <c r="I189"/>
  <c r="G189"/>
  <c r="F189"/>
  <c r="D189"/>
  <c r="C189"/>
  <c r="N188"/>
  <c r="O188" s="1"/>
  <c r="K188"/>
  <c r="H188"/>
  <c r="E188"/>
  <c r="N187"/>
  <c r="O187" s="1"/>
  <c r="K187"/>
  <c r="H187"/>
  <c r="E187"/>
  <c r="N186"/>
  <c r="O186" s="1"/>
  <c r="K186"/>
  <c r="H186"/>
  <c r="E186"/>
  <c r="N185"/>
  <c r="O185" s="1"/>
  <c r="K185"/>
  <c r="H185"/>
  <c r="E185"/>
  <c r="N184"/>
  <c r="O184" s="1"/>
  <c r="K184"/>
  <c r="H184"/>
  <c r="E184"/>
  <c r="N183"/>
  <c r="O183" s="1"/>
  <c r="K183"/>
  <c r="H183"/>
  <c r="E183"/>
  <c r="I178"/>
  <c r="B177"/>
  <c r="A177"/>
  <c r="B176"/>
  <c r="A176"/>
  <c r="B175"/>
  <c r="A175"/>
  <c r="B174"/>
  <c r="A174"/>
  <c r="B173"/>
  <c r="A173"/>
  <c r="B172"/>
  <c r="A172"/>
  <c r="N158"/>
  <c r="K158"/>
  <c r="A149"/>
  <c r="A140"/>
  <c r="M122" i="34"/>
  <c r="L122"/>
  <c r="J122"/>
  <c r="I122"/>
  <c r="G122"/>
  <c r="F122"/>
  <c r="D122"/>
  <c r="M139"/>
  <c r="L139"/>
  <c r="J139"/>
  <c r="I139"/>
  <c r="G139"/>
  <c r="D139"/>
  <c r="M148"/>
  <c r="L148"/>
  <c r="J148"/>
  <c r="I148"/>
  <c r="G148"/>
  <c r="D148"/>
  <c r="M178"/>
  <c r="L178"/>
  <c r="J178"/>
  <c r="I178"/>
  <c r="G178"/>
  <c r="D178"/>
  <c r="I26" i="50"/>
  <c r="K40" i="49"/>
  <c r="K73"/>
  <c r="K64" s="1"/>
  <c r="K44"/>
  <c r="K47"/>
  <c r="K29"/>
  <c r="K45"/>
  <c r="K28"/>
  <c r="K38"/>
  <c r="K37"/>
  <c r="K36"/>
  <c r="K18"/>
  <c r="K17" s="1"/>
  <c r="K24" s="1"/>
  <c r="K9"/>
  <c r="K8" s="1"/>
  <c r="E8"/>
  <c r="E24" s="1"/>
  <c r="H206" i="38"/>
  <c r="H207"/>
  <c r="H208"/>
  <c r="H209"/>
  <c r="H210"/>
  <c r="H211"/>
  <c r="H212"/>
  <c r="H205"/>
  <c r="H204"/>
  <c r="H203"/>
  <c r="H201"/>
  <c r="H200"/>
  <c r="H199"/>
  <c r="H198"/>
  <c r="H197"/>
  <c r="H195"/>
  <c r="H194"/>
  <c r="H193"/>
  <c r="H191"/>
  <c r="H190"/>
  <c r="H189"/>
  <c r="H187"/>
  <c r="H188"/>
  <c r="H186"/>
  <c r="H185"/>
  <c r="H184"/>
  <c r="H183"/>
  <c r="K26" i="49" l="1"/>
  <c r="K42"/>
  <c r="J178" i="58"/>
  <c r="H189"/>
  <c r="M156"/>
  <c r="N189"/>
  <c r="E189"/>
  <c r="N205"/>
  <c r="H213"/>
  <c r="N197"/>
  <c r="E205"/>
  <c r="K205"/>
  <c r="J148"/>
  <c r="L148"/>
  <c r="M170"/>
  <c r="D178"/>
  <c r="M178"/>
  <c r="K189"/>
  <c r="O189" s="1"/>
  <c r="H197"/>
  <c r="H205"/>
  <c r="N213"/>
  <c r="G178"/>
  <c r="L178"/>
  <c r="E213"/>
  <c r="I122"/>
  <c r="M122"/>
  <c r="D139"/>
  <c r="I139"/>
  <c r="M139"/>
  <c r="L139"/>
  <c r="G139"/>
  <c r="I170"/>
  <c r="D148"/>
  <c r="G122"/>
  <c r="G156"/>
  <c r="I156"/>
  <c r="G170"/>
  <c r="L122"/>
  <c r="D170"/>
  <c r="D122"/>
  <c r="F122"/>
  <c r="J122"/>
  <c r="J156"/>
  <c r="D156"/>
  <c r="L156"/>
  <c r="N156" s="1"/>
  <c r="L170"/>
  <c r="J139"/>
  <c r="I148"/>
  <c r="M148"/>
  <c r="G148"/>
  <c r="J170"/>
  <c r="H182" i="38"/>
  <c r="H181"/>
  <c r="H179"/>
  <c r="H178"/>
  <c r="H176"/>
  <c r="H175"/>
  <c r="K175" s="1"/>
  <c r="H174"/>
  <c r="K174" s="1"/>
  <c r="H173"/>
  <c r="H170"/>
  <c r="H169"/>
  <c r="H168"/>
  <c r="H167"/>
  <c r="H166"/>
  <c r="H165"/>
  <c r="H164"/>
  <c r="H163"/>
  <c r="H162"/>
  <c r="H160"/>
  <c r="K160" s="1"/>
  <c r="H159"/>
  <c r="H158"/>
  <c r="H157"/>
  <c r="H156"/>
  <c r="H154"/>
  <c r="H153"/>
  <c r="H152"/>
  <c r="H151"/>
  <c r="H149"/>
  <c r="K149" s="1"/>
  <c r="H148"/>
  <c r="H147"/>
  <c r="J147" s="1"/>
  <c r="G147"/>
  <c r="H146"/>
  <c r="H145"/>
  <c r="H144"/>
  <c r="K144" s="1"/>
  <c r="H143"/>
  <c r="K143" s="1"/>
  <c r="H141"/>
  <c r="K141" s="1"/>
  <c r="H140"/>
  <c r="H139"/>
  <c r="H137"/>
  <c r="K137" s="1"/>
  <c r="G211"/>
  <c r="G210"/>
  <c r="G209"/>
  <c r="G208"/>
  <c r="K207"/>
  <c r="G207"/>
  <c r="G206"/>
  <c r="G205"/>
  <c r="K203"/>
  <c r="G203"/>
  <c r="M202"/>
  <c r="J202"/>
  <c r="G202"/>
  <c r="G201"/>
  <c r="G200"/>
  <c r="G199"/>
  <c r="G198"/>
  <c r="G197"/>
  <c r="G195"/>
  <c r="G194"/>
  <c r="G193"/>
  <c r="G191"/>
  <c r="G190"/>
  <c r="G189"/>
  <c r="G188"/>
  <c r="G187"/>
  <c r="G186"/>
  <c r="G185"/>
  <c r="G184"/>
  <c r="G183"/>
  <c r="G182"/>
  <c r="G181"/>
  <c r="G179"/>
  <c r="G178"/>
  <c r="G176"/>
  <c r="G175"/>
  <c r="G174"/>
  <c r="L173"/>
  <c r="G173"/>
  <c r="L170"/>
  <c r="G170"/>
  <c r="L169"/>
  <c r="G169"/>
  <c r="G168"/>
  <c r="G167"/>
  <c r="G166"/>
  <c r="G165"/>
  <c r="L164"/>
  <c r="G164"/>
  <c r="G163"/>
  <c r="L162"/>
  <c r="G162"/>
  <c r="G160"/>
  <c r="G159"/>
  <c r="G158"/>
  <c r="K157"/>
  <c r="G157"/>
  <c r="G156"/>
  <c r="L154"/>
  <c r="G154"/>
  <c r="G153"/>
  <c r="G152"/>
  <c r="G151"/>
  <c r="G149"/>
  <c r="G148"/>
  <c r="G146"/>
  <c r="G145"/>
  <c r="G144"/>
  <c r="G143"/>
  <c r="G141"/>
  <c r="G140"/>
  <c r="K139"/>
  <c r="G139"/>
  <c r="M138"/>
  <c r="G137"/>
  <c r="H124"/>
  <c r="I124"/>
  <c r="L124" s="1"/>
  <c r="H125"/>
  <c r="K125" s="1"/>
  <c r="I125"/>
  <c r="L125" s="1"/>
  <c r="H126"/>
  <c r="I126"/>
  <c r="L126" s="1"/>
  <c r="H127"/>
  <c r="K127" s="1"/>
  <c r="I127"/>
  <c r="L127" s="1"/>
  <c r="I123"/>
  <c r="L123" s="1"/>
  <c r="H123"/>
  <c r="K123" s="1"/>
  <c r="H110"/>
  <c r="I110" s="1"/>
  <c r="L110" s="1"/>
  <c r="H111"/>
  <c r="K111" s="1"/>
  <c r="H112"/>
  <c r="K112" s="1"/>
  <c r="H109"/>
  <c r="I109" s="1"/>
  <c r="L109" s="1"/>
  <c r="H108"/>
  <c r="I108" s="1"/>
  <c r="L108" s="1"/>
  <c r="K62" i="49" l="1"/>
  <c r="K74" s="1"/>
  <c r="K170" i="58"/>
  <c r="N170"/>
  <c r="O205"/>
  <c r="O197"/>
  <c r="O213"/>
  <c r="M214"/>
  <c r="G214"/>
  <c r="J214"/>
  <c r="D214"/>
  <c r="I214"/>
  <c r="K156"/>
  <c r="L214"/>
  <c r="K147" i="38"/>
  <c r="M147" s="1"/>
  <c r="M123"/>
  <c r="J127"/>
  <c r="L203"/>
  <c r="M203" s="1"/>
  <c r="K205"/>
  <c r="K208"/>
  <c r="K210"/>
  <c r="K209"/>
  <c r="K211"/>
  <c r="J125"/>
  <c r="K110"/>
  <c r="J149"/>
  <c r="J175"/>
  <c r="K206"/>
  <c r="K109"/>
  <c r="M127"/>
  <c r="M125"/>
  <c r="J123"/>
  <c r="J126"/>
  <c r="J124"/>
  <c r="K126"/>
  <c r="M126" s="1"/>
  <c r="K124"/>
  <c r="M124" s="1"/>
  <c r="J169"/>
  <c r="J173"/>
  <c r="L204"/>
  <c r="J170"/>
  <c r="J164"/>
  <c r="K204"/>
  <c r="I112"/>
  <c r="L112" s="1"/>
  <c r="J154"/>
  <c r="J162"/>
  <c r="J174"/>
  <c r="J205"/>
  <c r="L205"/>
  <c r="J206"/>
  <c r="L206"/>
  <c r="J207"/>
  <c r="L207"/>
  <c r="M207" s="1"/>
  <c r="J208"/>
  <c r="L208"/>
  <c r="J209"/>
  <c r="L209"/>
  <c r="J210"/>
  <c r="L210"/>
  <c r="J211"/>
  <c r="L211"/>
  <c r="L139"/>
  <c r="M139" s="1"/>
  <c r="L140"/>
  <c r="L145"/>
  <c r="L146"/>
  <c r="L148"/>
  <c r="L151"/>
  <c r="L152"/>
  <c r="L153"/>
  <c r="L156"/>
  <c r="L157"/>
  <c r="M157" s="1"/>
  <c r="L158"/>
  <c r="L159"/>
  <c r="L163"/>
  <c r="L165"/>
  <c r="L166"/>
  <c r="L167"/>
  <c r="L168"/>
  <c r="L174"/>
  <c r="M174" s="1"/>
  <c r="L176"/>
  <c r="L178"/>
  <c r="L179"/>
  <c r="L181"/>
  <c r="L182"/>
  <c r="L183"/>
  <c r="L184"/>
  <c r="L185"/>
  <c r="L186"/>
  <c r="L187"/>
  <c r="L188"/>
  <c r="L189"/>
  <c r="L190"/>
  <c r="L191"/>
  <c r="L193"/>
  <c r="L194"/>
  <c r="L195"/>
  <c r="L197"/>
  <c r="L198"/>
  <c r="L199"/>
  <c r="L200"/>
  <c r="L201"/>
  <c r="L212"/>
  <c r="L137"/>
  <c r="M137" s="1"/>
  <c r="L149"/>
  <c r="M149" s="1"/>
  <c r="K140"/>
  <c r="K145"/>
  <c r="K146"/>
  <c r="K148"/>
  <c r="K151"/>
  <c r="K152"/>
  <c r="K153"/>
  <c r="K154"/>
  <c r="M154" s="1"/>
  <c r="K156"/>
  <c r="K158"/>
  <c r="K159"/>
  <c r="K162"/>
  <c r="M162" s="1"/>
  <c r="K163"/>
  <c r="K164"/>
  <c r="M164" s="1"/>
  <c r="K165"/>
  <c r="K166"/>
  <c r="K167"/>
  <c r="K168"/>
  <c r="K169"/>
  <c r="M169" s="1"/>
  <c r="K170"/>
  <c r="M170" s="1"/>
  <c r="K173"/>
  <c r="M173" s="1"/>
  <c r="K176"/>
  <c r="K178"/>
  <c r="K179"/>
  <c r="K181"/>
  <c r="K182"/>
  <c r="K183"/>
  <c r="K184"/>
  <c r="K185"/>
  <c r="K186"/>
  <c r="K187"/>
  <c r="K188"/>
  <c r="K189"/>
  <c r="K190"/>
  <c r="K191"/>
  <c r="K193"/>
  <c r="K194"/>
  <c r="K195"/>
  <c r="K197"/>
  <c r="K198"/>
  <c r="K199"/>
  <c r="K200"/>
  <c r="K201"/>
  <c r="K212"/>
  <c r="I111"/>
  <c r="L111" s="1"/>
  <c r="G21" i="31"/>
  <c r="F21"/>
  <c r="D21"/>
  <c r="C21"/>
  <c r="D68"/>
  <c r="C155"/>
  <c r="L46"/>
  <c r="J46"/>
  <c r="I46"/>
  <c r="G46"/>
  <c r="F46"/>
  <c r="D46"/>
  <c r="C46"/>
  <c r="D60"/>
  <c r="C60"/>
  <c r="G59"/>
  <c r="F59"/>
  <c r="D59"/>
  <c r="C59"/>
  <c r="F40" i="49"/>
  <c r="F73"/>
  <c r="F64" s="1"/>
  <c r="F44"/>
  <c r="F47"/>
  <c r="F29"/>
  <c r="F45"/>
  <c r="F28"/>
  <c r="F38"/>
  <c r="F37"/>
  <c r="F36"/>
  <c r="F9"/>
  <c r="F8" s="1"/>
  <c r="F18"/>
  <c r="E73"/>
  <c r="E64" s="1"/>
  <c r="D55" i="31"/>
  <c r="C55"/>
  <c r="M73" i="49"/>
  <c r="M72"/>
  <c r="M71"/>
  <c r="M70"/>
  <c r="M67"/>
  <c r="M66"/>
  <c r="M65"/>
  <c r="M61"/>
  <c r="I61"/>
  <c r="M60"/>
  <c r="I60"/>
  <c r="M59"/>
  <c r="I59"/>
  <c r="M58"/>
  <c r="I58"/>
  <c r="M57"/>
  <c r="I57"/>
  <c r="M56"/>
  <c r="M54"/>
  <c r="M53"/>
  <c r="M52"/>
  <c r="M51"/>
  <c r="M50"/>
  <c r="M49"/>
  <c r="M48"/>
  <c r="M47"/>
  <c r="M46"/>
  <c r="M45"/>
  <c r="M44"/>
  <c r="M43"/>
  <c r="I43"/>
  <c r="M41"/>
  <c r="I41"/>
  <c r="M40"/>
  <c r="M38"/>
  <c r="M37"/>
  <c r="M36"/>
  <c r="M35"/>
  <c r="M34"/>
  <c r="M33"/>
  <c r="M32"/>
  <c r="M31"/>
  <c r="M30"/>
  <c r="M29"/>
  <c r="M28"/>
  <c r="M27"/>
  <c r="I27"/>
  <c r="M23"/>
  <c r="I23"/>
  <c r="M22"/>
  <c r="I22"/>
  <c r="M21"/>
  <c r="I21"/>
  <c r="M20"/>
  <c r="I20"/>
  <c r="M19"/>
  <c r="I19"/>
  <c r="M18"/>
  <c r="I10"/>
  <c r="M10"/>
  <c r="I11"/>
  <c r="M11"/>
  <c r="I12"/>
  <c r="M12"/>
  <c r="I13"/>
  <c r="M13"/>
  <c r="I14"/>
  <c r="M14"/>
  <c r="I15"/>
  <c r="M15"/>
  <c r="I16"/>
  <c r="M16"/>
  <c r="M9"/>
  <c r="F26" l="1"/>
  <c r="F42"/>
  <c r="F17"/>
  <c r="F24" s="1"/>
  <c r="M210" i="38"/>
  <c r="M211"/>
  <c r="M205"/>
  <c r="M209"/>
  <c r="M140"/>
  <c r="M212"/>
  <c r="M148"/>
  <c r="J203"/>
  <c r="M208"/>
  <c r="M206"/>
  <c r="J191"/>
  <c r="M198"/>
  <c r="M194"/>
  <c r="M189"/>
  <c r="M185"/>
  <c r="M181"/>
  <c r="M165"/>
  <c r="M159"/>
  <c r="M152"/>
  <c r="M146"/>
  <c r="L175"/>
  <c r="M175" s="1"/>
  <c r="J151"/>
  <c r="J181"/>
  <c r="J198"/>
  <c r="M167"/>
  <c r="M156"/>
  <c r="J201"/>
  <c r="J167"/>
  <c r="J159"/>
  <c r="J185"/>
  <c r="J204"/>
  <c r="J194"/>
  <c r="M166"/>
  <c r="J144"/>
  <c r="L144"/>
  <c r="M144" s="1"/>
  <c r="J141"/>
  <c r="L141"/>
  <c r="M141" s="1"/>
  <c r="J160"/>
  <c r="L160"/>
  <c r="M160" s="1"/>
  <c r="J143"/>
  <c r="L143"/>
  <c r="M143" s="1"/>
  <c r="J195"/>
  <c r="J212"/>
  <c r="J176"/>
  <c r="J157"/>
  <c r="M195"/>
  <c r="M190"/>
  <c r="M182"/>
  <c r="M176"/>
  <c r="M200"/>
  <c r="M191"/>
  <c r="M187"/>
  <c r="M183"/>
  <c r="M178"/>
  <c r="M163"/>
  <c r="J146"/>
  <c r="J188"/>
  <c r="J200"/>
  <c r="J183"/>
  <c r="J166"/>
  <c r="J153"/>
  <c r="J145"/>
  <c r="J139"/>
  <c r="J190"/>
  <c r="J165"/>
  <c r="J152"/>
  <c r="J193"/>
  <c r="M201"/>
  <c r="M197"/>
  <c r="M193"/>
  <c r="M188"/>
  <c r="M184"/>
  <c r="M179"/>
  <c r="M168"/>
  <c r="M158"/>
  <c r="M153"/>
  <c r="M151"/>
  <c r="M145"/>
  <c r="J137"/>
  <c r="J179"/>
  <c r="J197"/>
  <c r="J187"/>
  <c r="J168"/>
  <c r="J156"/>
  <c r="J148"/>
  <c r="J140"/>
  <c r="J199"/>
  <c r="J189"/>
  <c r="M199"/>
  <c r="M186"/>
  <c r="J178"/>
  <c r="J163"/>
  <c r="J186"/>
  <c r="J182"/>
  <c r="J158"/>
  <c r="J184"/>
  <c r="B24" i="39"/>
  <c r="D169" i="31"/>
  <c r="C169"/>
  <c r="K61"/>
  <c r="D61"/>
  <c r="C61"/>
  <c r="L70"/>
  <c r="G9" i="47"/>
  <c r="F9"/>
  <c r="E74" i="49" l="1"/>
  <c r="F62"/>
  <c r="F74" s="1"/>
  <c r="H42"/>
  <c r="H17"/>
  <c r="F78" l="1"/>
  <c r="E59" i="53"/>
  <c r="G59" s="1"/>
  <c r="E58"/>
  <c r="G58" s="1"/>
  <c r="G56"/>
  <c r="G98" i="52"/>
  <c r="E101"/>
  <c r="E102" s="1"/>
  <c r="G102" s="1"/>
  <c r="E100"/>
  <c r="G100" s="1"/>
  <c r="G101" l="1"/>
  <c r="E60" i="53"/>
  <c r="G60" s="1"/>
  <c r="M70" i="58"/>
  <c r="J70"/>
  <c r="D70"/>
  <c r="M69"/>
  <c r="J69"/>
  <c r="D69"/>
  <c r="C69"/>
  <c r="M68"/>
  <c r="J68"/>
  <c r="D68"/>
  <c r="C68"/>
  <c r="M67"/>
  <c r="J67"/>
  <c r="D67"/>
  <c r="M66"/>
  <c r="J66"/>
  <c r="D66"/>
  <c r="M63"/>
  <c r="J63"/>
  <c r="D63"/>
  <c r="M62"/>
  <c r="J62"/>
  <c r="F62"/>
  <c r="D62"/>
  <c r="M61"/>
  <c r="J61"/>
  <c r="F61"/>
  <c r="D61"/>
  <c r="M60"/>
  <c r="J60"/>
  <c r="F60"/>
  <c r="D60"/>
  <c r="M59"/>
  <c r="L59"/>
  <c r="J59"/>
  <c r="I59"/>
  <c r="F59"/>
  <c r="D59"/>
  <c r="M58"/>
  <c r="J58"/>
  <c r="D58"/>
  <c r="M57"/>
  <c r="J57"/>
  <c r="F57"/>
  <c r="D57"/>
  <c r="M56"/>
  <c r="J56"/>
  <c r="D56"/>
  <c r="M55"/>
  <c r="J55"/>
  <c r="F55"/>
  <c r="D55"/>
  <c r="M54"/>
  <c r="J54"/>
  <c r="D54"/>
  <c r="M53"/>
  <c r="J53"/>
  <c r="F53"/>
  <c r="D53"/>
  <c r="M52"/>
  <c r="J52"/>
  <c r="D52"/>
  <c r="M49"/>
  <c r="J49"/>
  <c r="I49"/>
  <c r="F49"/>
  <c r="D49"/>
  <c r="C49"/>
  <c r="M48"/>
  <c r="J48"/>
  <c r="D48"/>
  <c r="M47"/>
  <c r="J47"/>
  <c r="D47"/>
  <c r="M46"/>
  <c r="J46"/>
  <c r="D46"/>
  <c r="M45"/>
  <c r="J45"/>
  <c r="D45"/>
  <c r="M44"/>
  <c r="J44"/>
  <c r="D44"/>
  <c r="M41"/>
  <c r="J41"/>
  <c r="D41"/>
  <c r="C41"/>
  <c r="M40"/>
  <c r="J40"/>
  <c r="F40"/>
  <c r="D40"/>
  <c r="C40"/>
  <c r="M39"/>
  <c r="J39"/>
  <c r="D39"/>
  <c r="C39"/>
  <c r="M38"/>
  <c r="J38"/>
  <c r="F38"/>
  <c r="D38"/>
  <c r="C38"/>
  <c r="M37"/>
  <c r="J37"/>
  <c r="D37"/>
  <c r="C37"/>
  <c r="M36"/>
  <c r="J36"/>
  <c r="D36"/>
  <c r="M35"/>
  <c r="J35"/>
  <c r="D35"/>
  <c r="C35"/>
  <c r="M32"/>
  <c r="J32"/>
  <c r="I32"/>
  <c r="G32"/>
  <c r="D32"/>
  <c r="C32"/>
  <c r="M31"/>
  <c r="J31"/>
  <c r="D31"/>
  <c r="M30"/>
  <c r="J30"/>
  <c r="D30"/>
  <c r="M29"/>
  <c r="J29"/>
  <c r="I29"/>
  <c r="D29"/>
  <c r="C29"/>
  <c r="M28"/>
  <c r="J28"/>
  <c r="I28"/>
  <c r="F28"/>
  <c r="D28"/>
  <c r="M27"/>
  <c r="J27"/>
  <c r="D27"/>
  <c r="C27"/>
  <c r="M26"/>
  <c r="J26"/>
  <c r="D26"/>
  <c r="C26"/>
  <c r="M25"/>
  <c r="J25"/>
  <c r="D25"/>
  <c r="M24"/>
  <c r="J24"/>
  <c r="D24"/>
  <c r="M23"/>
  <c r="J23"/>
  <c r="D23"/>
  <c r="M22"/>
  <c r="J22"/>
  <c r="D22"/>
  <c r="M21"/>
  <c r="J21"/>
  <c r="D21"/>
  <c r="M20"/>
  <c r="J20"/>
  <c r="D20"/>
  <c r="M19"/>
  <c r="J19"/>
  <c r="D19"/>
  <c r="M18"/>
  <c r="J18"/>
  <c r="D18"/>
  <c r="D15"/>
  <c r="C15"/>
  <c r="F14"/>
  <c r="D14"/>
  <c r="C14"/>
  <c r="D13"/>
  <c r="D12"/>
  <c r="F11"/>
  <c r="D11"/>
  <c r="D10"/>
  <c r="M106"/>
  <c r="L106"/>
  <c r="J106"/>
  <c r="I106"/>
  <c r="G106"/>
  <c r="F106"/>
  <c r="D106"/>
  <c r="C106"/>
  <c r="N105"/>
  <c r="O105" s="1"/>
  <c r="K105"/>
  <c r="H105"/>
  <c r="E105"/>
  <c r="N104"/>
  <c r="O104" s="1"/>
  <c r="K104"/>
  <c r="H104"/>
  <c r="E104"/>
  <c r="N103"/>
  <c r="O103" s="1"/>
  <c r="K103"/>
  <c r="H103"/>
  <c r="E103"/>
  <c r="N102"/>
  <c r="O102" s="1"/>
  <c r="K102"/>
  <c r="H102"/>
  <c r="E102"/>
  <c r="N101"/>
  <c r="O101" s="1"/>
  <c r="K101"/>
  <c r="H101"/>
  <c r="E101"/>
  <c r="N100"/>
  <c r="O100" s="1"/>
  <c r="K100"/>
  <c r="H100"/>
  <c r="E100"/>
  <c r="M98"/>
  <c r="L98"/>
  <c r="J98"/>
  <c r="I98"/>
  <c r="K98" s="1"/>
  <c r="G98"/>
  <c r="H98" s="1"/>
  <c r="F98"/>
  <c r="D98"/>
  <c r="C98"/>
  <c r="N97"/>
  <c r="O97" s="1"/>
  <c r="K97"/>
  <c r="H97"/>
  <c r="E97"/>
  <c r="N96"/>
  <c r="O96" s="1"/>
  <c r="K96"/>
  <c r="H96"/>
  <c r="E96"/>
  <c r="N95"/>
  <c r="O95" s="1"/>
  <c r="K95"/>
  <c r="H95"/>
  <c r="E95"/>
  <c r="O94"/>
  <c r="N94"/>
  <c r="K94"/>
  <c r="H94"/>
  <c r="E94"/>
  <c r="N93"/>
  <c r="O93" s="1"/>
  <c r="K93"/>
  <c r="H93"/>
  <c r="E93"/>
  <c r="N92"/>
  <c r="O92" s="1"/>
  <c r="K92"/>
  <c r="H92"/>
  <c r="E92"/>
  <c r="M90"/>
  <c r="L90"/>
  <c r="J90"/>
  <c r="I90"/>
  <c r="K90" s="1"/>
  <c r="G90"/>
  <c r="F90"/>
  <c r="D90"/>
  <c r="C90"/>
  <c r="N89"/>
  <c r="O89" s="1"/>
  <c r="K89"/>
  <c r="H89"/>
  <c r="E89"/>
  <c r="N88"/>
  <c r="O88" s="1"/>
  <c r="K88"/>
  <c r="H88"/>
  <c r="E88"/>
  <c r="N87"/>
  <c r="O87" s="1"/>
  <c r="K87"/>
  <c r="H87"/>
  <c r="E87"/>
  <c r="N86"/>
  <c r="O86" s="1"/>
  <c r="K86"/>
  <c r="H86"/>
  <c r="E86"/>
  <c r="N85"/>
  <c r="O85" s="1"/>
  <c r="K85"/>
  <c r="H85"/>
  <c r="E85"/>
  <c r="N84"/>
  <c r="O84" s="1"/>
  <c r="K84"/>
  <c r="H84"/>
  <c r="E84"/>
  <c r="M82"/>
  <c r="L82"/>
  <c r="J82"/>
  <c r="I82"/>
  <c r="G82"/>
  <c r="F82"/>
  <c r="D82"/>
  <c r="C82"/>
  <c r="N81"/>
  <c r="O81" s="1"/>
  <c r="K81"/>
  <c r="H81"/>
  <c r="E81"/>
  <c r="N80"/>
  <c r="O80" s="1"/>
  <c r="K80"/>
  <c r="H80"/>
  <c r="E80"/>
  <c r="N79"/>
  <c r="O79" s="1"/>
  <c r="K79"/>
  <c r="H79"/>
  <c r="E79"/>
  <c r="N78"/>
  <c r="O78" s="1"/>
  <c r="K78"/>
  <c r="H78"/>
  <c r="E78"/>
  <c r="N77"/>
  <c r="O77" s="1"/>
  <c r="K77"/>
  <c r="H77"/>
  <c r="E77"/>
  <c r="N76"/>
  <c r="O76" s="1"/>
  <c r="K76"/>
  <c r="H76"/>
  <c r="E76"/>
  <c r="B63"/>
  <c r="B169" s="1"/>
  <c r="B62"/>
  <c r="B168" s="1"/>
  <c r="B61"/>
  <c r="B167" s="1"/>
  <c r="B60"/>
  <c r="B166" s="1"/>
  <c r="B59"/>
  <c r="B165" s="1"/>
  <c r="T58"/>
  <c r="B58"/>
  <c r="B164" s="1"/>
  <c r="T57"/>
  <c r="B57"/>
  <c r="B163" s="1"/>
  <c r="T56"/>
  <c r="B56"/>
  <c r="B162" s="1"/>
  <c r="T55"/>
  <c r="B55"/>
  <c r="B161" s="1"/>
  <c r="T54"/>
  <c r="B54"/>
  <c r="B160" s="1"/>
  <c r="T53"/>
  <c r="B53"/>
  <c r="B159" s="1"/>
  <c r="T52"/>
  <c r="B52"/>
  <c r="B158" s="1"/>
  <c r="T51"/>
  <c r="T50"/>
  <c r="T49"/>
  <c r="B49"/>
  <c r="B155" s="1"/>
  <c r="T48"/>
  <c r="B48"/>
  <c r="B154" s="1"/>
  <c r="T47"/>
  <c r="B47"/>
  <c r="B153" s="1"/>
  <c r="T46"/>
  <c r="B46"/>
  <c r="B152" s="1"/>
  <c r="B45"/>
  <c r="B151" s="1"/>
  <c r="T44"/>
  <c r="B44"/>
  <c r="B150" s="1"/>
  <c r="T43"/>
  <c r="T42"/>
  <c r="T41"/>
  <c r="B41"/>
  <c r="B147" s="1"/>
  <c r="T40"/>
  <c r="B40"/>
  <c r="B146" s="1"/>
  <c r="B39"/>
  <c r="B145" s="1"/>
  <c r="T38"/>
  <c r="B38"/>
  <c r="B144" s="1"/>
  <c r="T37"/>
  <c r="B37"/>
  <c r="B143" s="1"/>
  <c r="T36"/>
  <c r="B36"/>
  <c r="B142" s="1"/>
  <c r="T35"/>
  <c r="B35"/>
  <c r="B141" s="1"/>
  <c r="T34"/>
  <c r="T33"/>
  <c r="T32"/>
  <c r="B32"/>
  <c r="B138" s="1"/>
  <c r="B31"/>
  <c r="B137" s="1"/>
  <c r="T30"/>
  <c r="B30"/>
  <c r="B136" s="1"/>
  <c r="T29"/>
  <c r="B29"/>
  <c r="B135" s="1"/>
  <c r="T28"/>
  <c r="B28"/>
  <c r="B134" s="1"/>
  <c r="T27"/>
  <c r="B27"/>
  <c r="B133" s="1"/>
  <c r="T26"/>
  <c r="B26"/>
  <c r="B132" s="1"/>
  <c r="T25"/>
  <c r="B25"/>
  <c r="B131" s="1"/>
  <c r="T24"/>
  <c r="B24"/>
  <c r="B130" s="1"/>
  <c r="B23"/>
  <c r="B129" s="1"/>
  <c r="T22"/>
  <c r="B22"/>
  <c r="B128" s="1"/>
  <c r="T21"/>
  <c r="B21"/>
  <c r="B127" s="1"/>
  <c r="T20"/>
  <c r="B20"/>
  <c r="B126" s="1"/>
  <c r="T19"/>
  <c r="B19"/>
  <c r="B125" s="1"/>
  <c r="T18"/>
  <c r="B18"/>
  <c r="B124" s="1"/>
  <c r="B15"/>
  <c r="B121" s="1"/>
  <c r="T14"/>
  <c r="B14"/>
  <c r="B120" s="1"/>
  <c r="T13"/>
  <c r="B13"/>
  <c r="B119" s="1"/>
  <c r="T12"/>
  <c r="B12"/>
  <c r="B118" s="1"/>
  <c r="T11"/>
  <c r="B11"/>
  <c r="B117" s="1"/>
  <c r="U10"/>
  <c r="B10"/>
  <c r="B116" s="1"/>
  <c r="M72" i="57"/>
  <c r="L72"/>
  <c r="J72"/>
  <c r="I72"/>
  <c r="G72"/>
  <c r="F72"/>
  <c r="D72"/>
  <c r="C72"/>
  <c r="M71"/>
  <c r="L71"/>
  <c r="J71"/>
  <c r="I71"/>
  <c r="G71"/>
  <c r="F71"/>
  <c r="D71"/>
  <c r="C71"/>
  <c r="M70"/>
  <c r="L70"/>
  <c r="J70"/>
  <c r="I70"/>
  <c r="G70"/>
  <c r="F70"/>
  <c r="D70"/>
  <c r="C70"/>
  <c r="M69"/>
  <c r="L69"/>
  <c r="J69"/>
  <c r="I69"/>
  <c r="G69"/>
  <c r="F69"/>
  <c r="D69"/>
  <c r="C69"/>
  <c r="M68"/>
  <c r="L68"/>
  <c r="J68"/>
  <c r="I68"/>
  <c r="G68"/>
  <c r="F68"/>
  <c r="C68"/>
  <c r="M65"/>
  <c r="L65"/>
  <c r="J65"/>
  <c r="I65"/>
  <c r="G65"/>
  <c r="F65"/>
  <c r="D65"/>
  <c r="C65"/>
  <c r="M64"/>
  <c r="L64"/>
  <c r="J64"/>
  <c r="I64"/>
  <c r="G64"/>
  <c r="F64"/>
  <c r="C64"/>
  <c r="M63"/>
  <c r="L63"/>
  <c r="J63"/>
  <c r="I63"/>
  <c r="G63"/>
  <c r="F63"/>
  <c r="D63"/>
  <c r="C63"/>
  <c r="M62"/>
  <c r="L62"/>
  <c r="J62"/>
  <c r="I62"/>
  <c r="G62"/>
  <c r="F62"/>
  <c r="D62"/>
  <c r="C62"/>
  <c r="M61"/>
  <c r="L61"/>
  <c r="J61"/>
  <c r="I61"/>
  <c r="G61"/>
  <c r="F61"/>
  <c r="D61"/>
  <c r="C61"/>
  <c r="M60"/>
  <c r="L60"/>
  <c r="J60"/>
  <c r="I60"/>
  <c r="G60"/>
  <c r="F60"/>
  <c r="D60"/>
  <c r="C60"/>
  <c r="M59"/>
  <c r="L59"/>
  <c r="J59"/>
  <c r="I59"/>
  <c r="G59"/>
  <c r="F59"/>
  <c r="D59"/>
  <c r="C59"/>
  <c r="M58"/>
  <c r="L58"/>
  <c r="J58"/>
  <c r="I58"/>
  <c r="G58"/>
  <c r="F58"/>
  <c r="D58"/>
  <c r="C58"/>
  <c r="M57"/>
  <c r="L57"/>
  <c r="J57"/>
  <c r="I57"/>
  <c r="G57"/>
  <c r="F57"/>
  <c r="D57"/>
  <c r="C57"/>
  <c r="M56"/>
  <c r="L56"/>
  <c r="J56"/>
  <c r="I56"/>
  <c r="G56"/>
  <c r="F56"/>
  <c r="D56"/>
  <c r="C56"/>
  <c r="M55"/>
  <c r="L55"/>
  <c r="J55"/>
  <c r="I55"/>
  <c r="G55"/>
  <c r="F55"/>
  <c r="D55"/>
  <c r="C55"/>
  <c r="M54"/>
  <c r="L54"/>
  <c r="J54"/>
  <c r="I54"/>
  <c r="G54"/>
  <c r="F54"/>
  <c r="D54"/>
  <c r="C54"/>
  <c r="M53"/>
  <c r="L53"/>
  <c r="J53"/>
  <c r="I53"/>
  <c r="G53"/>
  <c r="F53"/>
  <c r="D53"/>
  <c r="C53"/>
  <c r="M52"/>
  <c r="L52"/>
  <c r="J52"/>
  <c r="I52"/>
  <c r="G52"/>
  <c r="F52"/>
  <c r="D52"/>
  <c r="C52"/>
  <c r="M49"/>
  <c r="L49"/>
  <c r="J49"/>
  <c r="I49"/>
  <c r="G49"/>
  <c r="F49"/>
  <c r="D49"/>
  <c r="C49"/>
  <c r="M48"/>
  <c r="L48"/>
  <c r="J48"/>
  <c r="I48"/>
  <c r="G48"/>
  <c r="F48"/>
  <c r="D48"/>
  <c r="C48"/>
  <c r="M47"/>
  <c r="L47"/>
  <c r="J47"/>
  <c r="I47"/>
  <c r="G47"/>
  <c r="F47"/>
  <c r="D47"/>
  <c r="C47"/>
  <c r="M46"/>
  <c r="L46"/>
  <c r="J46"/>
  <c r="I46"/>
  <c r="G46"/>
  <c r="F46"/>
  <c r="D46"/>
  <c r="C46"/>
  <c r="M45"/>
  <c r="L45"/>
  <c r="J45"/>
  <c r="I45"/>
  <c r="G45"/>
  <c r="F45"/>
  <c r="D45"/>
  <c r="C45"/>
  <c r="M44"/>
  <c r="L44"/>
  <c r="J44"/>
  <c r="I44"/>
  <c r="G44"/>
  <c r="F44"/>
  <c r="D44"/>
  <c r="C44"/>
  <c r="M41"/>
  <c r="L41"/>
  <c r="J41"/>
  <c r="I41"/>
  <c r="G41"/>
  <c r="F41"/>
  <c r="D41"/>
  <c r="C41"/>
  <c r="G40"/>
  <c r="F40"/>
  <c r="D40"/>
  <c r="C40"/>
  <c r="M39"/>
  <c r="L39"/>
  <c r="J39"/>
  <c r="I39"/>
  <c r="G39"/>
  <c r="F39"/>
  <c r="D39"/>
  <c r="C39"/>
  <c r="M38"/>
  <c r="L38"/>
  <c r="J38"/>
  <c r="I38"/>
  <c r="G38"/>
  <c r="F38"/>
  <c r="D38"/>
  <c r="C38"/>
  <c r="M37"/>
  <c r="L37"/>
  <c r="J37"/>
  <c r="I37"/>
  <c r="G37"/>
  <c r="F37"/>
  <c r="D37"/>
  <c r="C37"/>
  <c r="M36"/>
  <c r="L36"/>
  <c r="J36"/>
  <c r="I36"/>
  <c r="G36"/>
  <c r="F36"/>
  <c r="D36"/>
  <c r="C36"/>
  <c r="M35"/>
  <c r="L35"/>
  <c r="J35"/>
  <c r="I35"/>
  <c r="G35"/>
  <c r="F35"/>
  <c r="D35"/>
  <c r="C35"/>
  <c r="M32"/>
  <c r="L32"/>
  <c r="J32"/>
  <c r="I32"/>
  <c r="G32"/>
  <c r="F32"/>
  <c r="D32"/>
  <c r="C32"/>
  <c r="M31"/>
  <c r="L31"/>
  <c r="J31"/>
  <c r="I31"/>
  <c r="G31"/>
  <c r="F31"/>
  <c r="D31"/>
  <c r="C31"/>
  <c r="M30"/>
  <c r="L30"/>
  <c r="J30"/>
  <c r="I30"/>
  <c r="G30"/>
  <c r="F30"/>
  <c r="D30"/>
  <c r="C30"/>
  <c r="M29"/>
  <c r="L29"/>
  <c r="J29"/>
  <c r="I29"/>
  <c r="G29"/>
  <c r="F29"/>
  <c r="D29"/>
  <c r="C29"/>
  <c r="M28"/>
  <c r="L28"/>
  <c r="J28"/>
  <c r="I28"/>
  <c r="G28"/>
  <c r="F28"/>
  <c r="C28"/>
  <c r="M27"/>
  <c r="L27"/>
  <c r="J27"/>
  <c r="I27"/>
  <c r="G27"/>
  <c r="F27"/>
  <c r="D27"/>
  <c r="C27"/>
  <c r="M26"/>
  <c r="L26"/>
  <c r="J26"/>
  <c r="I26"/>
  <c r="G26"/>
  <c r="F26"/>
  <c r="D26"/>
  <c r="C26"/>
  <c r="M25"/>
  <c r="L25"/>
  <c r="J25"/>
  <c r="I25"/>
  <c r="G25"/>
  <c r="F25"/>
  <c r="D25"/>
  <c r="C25"/>
  <c r="M24"/>
  <c r="L24"/>
  <c r="J24"/>
  <c r="I24"/>
  <c r="G24"/>
  <c r="F24"/>
  <c r="D24"/>
  <c r="C24"/>
  <c r="M23"/>
  <c r="L23"/>
  <c r="J23"/>
  <c r="I23"/>
  <c r="G23"/>
  <c r="F23"/>
  <c r="D23"/>
  <c r="C23"/>
  <c r="M22"/>
  <c r="L22"/>
  <c r="J22"/>
  <c r="I22"/>
  <c r="G22"/>
  <c r="F22"/>
  <c r="D22"/>
  <c r="C22"/>
  <c r="M21"/>
  <c r="L21"/>
  <c r="J21"/>
  <c r="I21"/>
  <c r="G21"/>
  <c r="F21"/>
  <c r="D21"/>
  <c r="C21"/>
  <c r="M20"/>
  <c r="L20"/>
  <c r="J20"/>
  <c r="I20"/>
  <c r="D20"/>
  <c r="C20"/>
  <c r="M19"/>
  <c r="L19"/>
  <c r="J19"/>
  <c r="I19"/>
  <c r="G19"/>
  <c r="F19"/>
  <c r="D19"/>
  <c r="C19"/>
  <c r="M18"/>
  <c r="L18"/>
  <c r="J18"/>
  <c r="I18"/>
  <c r="G18"/>
  <c r="F18"/>
  <c r="D18"/>
  <c r="C18"/>
  <c r="M15"/>
  <c r="L15"/>
  <c r="J15"/>
  <c r="I15"/>
  <c r="G15"/>
  <c r="F15"/>
  <c r="D15"/>
  <c r="C15"/>
  <c r="M14"/>
  <c r="L14"/>
  <c r="J14"/>
  <c r="I14"/>
  <c r="G14"/>
  <c r="F14"/>
  <c r="D14"/>
  <c r="C14"/>
  <c r="M13"/>
  <c r="L13"/>
  <c r="J13"/>
  <c r="I13"/>
  <c r="G13"/>
  <c r="F13"/>
  <c r="M12"/>
  <c r="L12"/>
  <c r="J12"/>
  <c r="I12"/>
  <c r="G12"/>
  <c r="F12"/>
  <c r="D12"/>
  <c r="C12"/>
  <c r="M11"/>
  <c r="L11"/>
  <c r="J11"/>
  <c r="I11"/>
  <c r="G11"/>
  <c r="F11"/>
  <c r="D11"/>
  <c r="C11"/>
  <c r="M10"/>
  <c r="L10"/>
  <c r="J10"/>
  <c r="I10"/>
  <c r="G10"/>
  <c r="F10"/>
  <c r="D10"/>
  <c r="C10"/>
  <c r="M217"/>
  <c r="L217"/>
  <c r="J217"/>
  <c r="I217"/>
  <c r="K217" s="1"/>
  <c r="G217"/>
  <c r="F217"/>
  <c r="D217"/>
  <c r="C217"/>
  <c r="N216"/>
  <c r="O216" s="1"/>
  <c r="K216"/>
  <c r="H216"/>
  <c r="E216"/>
  <c r="N215"/>
  <c r="O215" s="1"/>
  <c r="K215"/>
  <c r="H215"/>
  <c r="E215"/>
  <c r="N214"/>
  <c r="O214" s="1"/>
  <c r="K214"/>
  <c r="H214"/>
  <c r="E214"/>
  <c r="O213"/>
  <c r="N213"/>
  <c r="K213"/>
  <c r="H213"/>
  <c r="E213"/>
  <c r="N212"/>
  <c r="O212" s="1"/>
  <c r="K212"/>
  <c r="H212"/>
  <c r="E212"/>
  <c r="N211"/>
  <c r="O211" s="1"/>
  <c r="K211"/>
  <c r="H211"/>
  <c r="E211"/>
  <c r="M209"/>
  <c r="L209"/>
  <c r="J209"/>
  <c r="I209"/>
  <c r="G209"/>
  <c r="F209"/>
  <c r="H209" s="1"/>
  <c r="D209"/>
  <c r="C209"/>
  <c r="N208"/>
  <c r="O208" s="1"/>
  <c r="K208"/>
  <c r="H208"/>
  <c r="E208"/>
  <c r="N207"/>
  <c r="O207" s="1"/>
  <c r="K207"/>
  <c r="H207"/>
  <c r="E207"/>
  <c r="N206"/>
  <c r="O206" s="1"/>
  <c r="K206"/>
  <c r="H206"/>
  <c r="E206"/>
  <c r="N205"/>
  <c r="O205" s="1"/>
  <c r="K205"/>
  <c r="H205"/>
  <c r="E205"/>
  <c r="N204"/>
  <c r="O204" s="1"/>
  <c r="K204"/>
  <c r="H204"/>
  <c r="E204"/>
  <c r="N203"/>
  <c r="O203" s="1"/>
  <c r="K203"/>
  <c r="H203"/>
  <c r="E203"/>
  <c r="M201"/>
  <c r="L201"/>
  <c r="J201"/>
  <c r="I201"/>
  <c r="G201"/>
  <c r="F201"/>
  <c r="D201"/>
  <c r="C201"/>
  <c r="N200"/>
  <c r="O200" s="1"/>
  <c r="K200"/>
  <c r="H200"/>
  <c r="E200"/>
  <c r="O199"/>
  <c r="N199"/>
  <c r="K199"/>
  <c r="H199"/>
  <c r="E199"/>
  <c r="N198"/>
  <c r="O198" s="1"/>
  <c r="K198"/>
  <c r="H198"/>
  <c r="E198"/>
  <c r="N197"/>
  <c r="O197" s="1"/>
  <c r="K197"/>
  <c r="H197"/>
  <c r="E197"/>
  <c r="N196"/>
  <c r="O196" s="1"/>
  <c r="K196"/>
  <c r="H196"/>
  <c r="E196"/>
  <c r="N195"/>
  <c r="O195" s="1"/>
  <c r="K195"/>
  <c r="H195"/>
  <c r="E195"/>
  <c r="M193"/>
  <c r="L193"/>
  <c r="J193"/>
  <c r="I193"/>
  <c r="G193"/>
  <c r="F193"/>
  <c r="D193"/>
  <c r="C193"/>
  <c r="N192"/>
  <c r="O192" s="1"/>
  <c r="K192"/>
  <c r="H192"/>
  <c r="E192"/>
  <c r="N191"/>
  <c r="O191" s="1"/>
  <c r="K191"/>
  <c r="H191"/>
  <c r="E191"/>
  <c r="N190"/>
  <c r="O190" s="1"/>
  <c r="K190"/>
  <c r="H190"/>
  <c r="E190"/>
  <c r="N189"/>
  <c r="O189" s="1"/>
  <c r="K189"/>
  <c r="H189"/>
  <c r="E189"/>
  <c r="N188"/>
  <c r="O188" s="1"/>
  <c r="K188"/>
  <c r="H188"/>
  <c r="E188"/>
  <c r="N187"/>
  <c r="O187" s="1"/>
  <c r="K187"/>
  <c r="H187"/>
  <c r="E187"/>
  <c r="M182"/>
  <c r="L182"/>
  <c r="J182"/>
  <c r="I182"/>
  <c r="G182"/>
  <c r="F182"/>
  <c r="D182"/>
  <c r="C182"/>
  <c r="N181"/>
  <c r="K181"/>
  <c r="H181"/>
  <c r="E181"/>
  <c r="N180"/>
  <c r="K180"/>
  <c r="H180"/>
  <c r="E180"/>
  <c r="N179"/>
  <c r="K179"/>
  <c r="H179"/>
  <c r="E179"/>
  <c r="N178"/>
  <c r="K178"/>
  <c r="H178"/>
  <c r="E178"/>
  <c r="N177"/>
  <c r="K177"/>
  <c r="H177"/>
  <c r="E177"/>
  <c r="N176"/>
  <c r="K176"/>
  <c r="H176"/>
  <c r="E176"/>
  <c r="M174"/>
  <c r="L174"/>
  <c r="J174"/>
  <c r="I174"/>
  <c r="G174"/>
  <c r="F174"/>
  <c r="D174"/>
  <c r="C174"/>
  <c r="N173"/>
  <c r="K173"/>
  <c r="H173"/>
  <c r="E173"/>
  <c r="N171"/>
  <c r="K171"/>
  <c r="H171"/>
  <c r="E171"/>
  <c r="N170"/>
  <c r="K170"/>
  <c r="H170"/>
  <c r="E170"/>
  <c r="N169"/>
  <c r="K169"/>
  <c r="H169"/>
  <c r="E169"/>
  <c r="N168"/>
  <c r="K168"/>
  <c r="H168"/>
  <c r="E168"/>
  <c r="N167"/>
  <c r="K167"/>
  <c r="H167"/>
  <c r="E167"/>
  <c r="N166"/>
  <c r="K166"/>
  <c r="H166"/>
  <c r="E166"/>
  <c r="N165"/>
  <c r="K165"/>
  <c r="H165"/>
  <c r="E165"/>
  <c r="N164"/>
  <c r="K164"/>
  <c r="H164"/>
  <c r="E164"/>
  <c r="N163"/>
  <c r="K163"/>
  <c r="H163"/>
  <c r="E163"/>
  <c r="N162"/>
  <c r="K162"/>
  <c r="H162"/>
  <c r="E162"/>
  <c r="N161"/>
  <c r="K161"/>
  <c r="H161"/>
  <c r="E161"/>
  <c r="M159"/>
  <c r="L159"/>
  <c r="J159"/>
  <c r="I159"/>
  <c r="G159"/>
  <c r="F159"/>
  <c r="D159"/>
  <c r="C159"/>
  <c r="N158"/>
  <c r="K158"/>
  <c r="H158"/>
  <c r="E158"/>
  <c r="N157"/>
  <c r="K157"/>
  <c r="H157"/>
  <c r="E157"/>
  <c r="N156"/>
  <c r="K156"/>
  <c r="H156"/>
  <c r="E156"/>
  <c r="N155"/>
  <c r="K155"/>
  <c r="H155"/>
  <c r="E155"/>
  <c r="N154"/>
  <c r="K154"/>
  <c r="H154"/>
  <c r="E154"/>
  <c r="N153"/>
  <c r="K153"/>
  <c r="H153"/>
  <c r="E153"/>
  <c r="M151"/>
  <c r="L151"/>
  <c r="N151" s="1"/>
  <c r="J151"/>
  <c r="I151"/>
  <c r="G151"/>
  <c r="F151"/>
  <c r="D151"/>
  <c r="C151"/>
  <c r="N150"/>
  <c r="K150"/>
  <c r="H150"/>
  <c r="E150"/>
  <c r="N149"/>
  <c r="K149"/>
  <c r="H149"/>
  <c r="E149"/>
  <c r="N148"/>
  <c r="K148"/>
  <c r="H148"/>
  <c r="E148"/>
  <c r="N147"/>
  <c r="K147"/>
  <c r="H147"/>
  <c r="E147"/>
  <c r="N146"/>
  <c r="K146"/>
  <c r="H146"/>
  <c r="E146"/>
  <c r="N145"/>
  <c r="K145"/>
  <c r="H145"/>
  <c r="E145"/>
  <c r="N144"/>
  <c r="K144"/>
  <c r="H144"/>
  <c r="E144"/>
  <c r="M141"/>
  <c r="M142" s="1"/>
  <c r="L141"/>
  <c r="L142" s="1"/>
  <c r="K141"/>
  <c r="G141"/>
  <c r="F141"/>
  <c r="E141"/>
  <c r="N140"/>
  <c r="J140"/>
  <c r="K140" s="1"/>
  <c r="I140"/>
  <c r="I142" s="1"/>
  <c r="G140"/>
  <c r="F140"/>
  <c r="D140"/>
  <c r="D142" s="1"/>
  <c r="C140"/>
  <c r="C142" s="1"/>
  <c r="N139"/>
  <c r="K139"/>
  <c r="H139"/>
  <c r="E139"/>
  <c r="N138"/>
  <c r="K138"/>
  <c r="H138"/>
  <c r="E138"/>
  <c r="N137"/>
  <c r="K137"/>
  <c r="H137"/>
  <c r="E137"/>
  <c r="N136"/>
  <c r="K136"/>
  <c r="H136"/>
  <c r="E136"/>
  <c r="N135"/>
  <c r="K135"/>
  <c r="H135"/>
  <c r="E135"/>
  <c r="N134"/>
  <c r="K134"/>
  <c r="H134"/>
  <c r="E134"/>
  <c r="N133"/>
  <c r="K133"/>
  <c r="H133"/>
  <c r="E133"/>
  <c r="N132"/>
  <c r="K132"/>
  <c r="H132"/>
  <c r="E132"/>
  <c r="N131"/>
  <c r="K131"/>
  <c r="H131"/>
  <c r="E131"/>
  <c r="N130"/>
  <c r="K130"/>
  <c r="H130"/>
  <c r="E130"/>
  <c r="N129"/>
  <c r="K129"/>
  <c r="H129"/>
  <c r="E129"/>
  <c r="N128"/>
  <c r="K128"/>
  <c r="H128"/>
  <c r="E128"/>
  <c r="M126"/>
  <c r="L126"/>
  <c r="J126"/>
  <c r="I126"/>
  <c r="K126" s="1"/>
  <c r="G126"/>
  <c r="F126"/>
  <c r="D126"/>
  <c r="C126"/>
  <c r="N125"/>
  <c r="K125"/>
  <c r="H125"/>
  <c r="E125"/>
  <c r="N124"/>
  <c r="K124"/>
  <c r="H124"/>
  <c r="E124"/>
  <c r="N123"/>
  <c r="K123"/>
  <c r="H123"/>
  <c r="E123"/>
  <c r="N122"/>
  <c r="K122"/>
  <c r="H122"/>
  <c r="E122"/>
  <c r="N121"/>
  <c r="K121"/>
  <c r="H121"/>
  <c r="E121"/>
  <c r="N120"/>
  <c r="K120"/>
  <c r="H120"/>
  <c r="E120"/>
  <c r="M110"/>
  <c r="L110"/>
  <c r="J110"/>
  <c r="I110"/>
  <c r="K110" s="1"/>
  <c r="G110"/>
  <c r="F110"/>
  <c r="D110"/>
  <c r="C110"/>
  <c r="E110" s="1"/>
  <c r="N109"/>
  <c r="O109" s="1"/>
  <c r="K109"/>
  <c r="H109"/>
  <c r="E109"/>
  <c r="N108"/>
  <c r="O108" s="1"/>
  <c r="K108"/>
  <c r="H108"/>
  <c r="E108"/>
  <c r="N107"/>
  <c r="O107" s="1"/>
  <c r="K107"/>
  <c r="H107"/>
  <c r="E107"/>
  <c r="N106"/>
  <c r="O106" s="1"/>
  <c r="K106"/>
  <c r="H106"/>
  <c r="E106"/>
  <c r="N105"/>
  <c r="O105" s="1"/>
  <c r="K105"/>
  <c r="H105"/>
  <c r="E105"/>
  <c r="N104"/>
  <c r="O104" s="1"/>
  <c r="K104"/>
  <c r="H104"/>
  <c r="E104"/>
  <c r="M102"/>
  <c r="L102"/>
  <c r="J102"/>
  <c r="I102"/>
  <c r="G102"/>
  <c r="F102"/>
  <c r="D102"/>
  <c r="C102"/>
  <c r="N101"/>
  <c r="O101" s="1"/>
  <c r="K101"/>
  <c r="H101"/>
  <c r="E101"/>
  <c r="N100"/>
  <c r="O100" s="1"/>
  <c r="K100"/>
  <c r="H100"/>
  <c r="E100"/>
  <c r="N99"/>
  <c r="O99" s="1"/>
  <c r="K99"/>
  <c r="H99"/>
  <c r="E99"/>
  <c r="N98"/>
  <c r="O98" s="1"/>
  <c r="K98"/>
  <c r="H98"/>
  <c r="E98"/>
  <c r="N97"/>
  <c r="O97" s="1"/>
  <c r="K97"/>
  <c r="H97"/>
  <c r="E97"/>
  <c r="N96"/>
  <c r="O96" s="1"/>
  <c r="K96"/>
  <c r="H96"/>
  <c r="E96"/>
  <c r="M94"/>
  <c r="L94"/>
  <c r="J94"/>
  <c r="I94"/>
  <c r="G94"/>
  <c r="H94" s="1"/>
  <c r="F94"/>
  <c r="D94"/>
  <c r="C94"/>
  <c r="N93"/>
  <c r="O93" s="1"/>
  <c r="K93"/>
  <c r="H93"/>
  <c r="E93"/>
  <c r="N92"/>
  <c r="O92" s="1"/>
  <c r="K92"/>
  <c r="H92"/>
  <c r="E92"/>
  <c r="N91"/>
  <c r="O91" s="1"/>
  <c r="K91"/>
  <c r="H91"/>
  <c r="E91"/>
  <c r="N90"/>
  <c r="O90" s="1"/>
  <c r="K90"/>
  <c r="H90"/>
  <c r="E90"/>
  <c r="N89"/>
  <c r="O89" s="1"/>
  <c r="K89"/>
  <c r="H89"/>
  <c r="E89"/>
  <c r="N88"/>
  <c r="O88" s="1"/>
  <c r="K88"/>
  <c r="H88"/>
  <c r="E88"/>
  <c r="M86"/>
  <c r="L86"/>
  <c r="J86"/>
  <c r="I86"/>
  <c r="G86"/>
  <c r="F86"/>
  <c r="D86"/>
  <c r="C86"/>
  <c r="N85"/>
  <c r="O85" s="1"/>
  <c r="K85"/>
  <c r="H85"/>
  <c r="E85"/>
  <c r="N84"/>
  <c r="O84" s="1"/>
  <c r="K84"/>
  <c r="H84"/>
  <c r="E84"/>
  <c r="O83"/>
  <c r="N83"/>
  <c r="K83"/>
  <c r="H83"/>
  <c r="E83"/>
  <c r="N82"/>
  <c r="O82" s="1"/>
  <c r="K82"/>
  <c r="H82"/>
  <c r="E82"/>
  <c r="N81"/>
  <c r="O81" s="1"/>
  <c r="K81"/>
  <c r="H81"/>
  <c r="E81"/>
  <c r="N80"/>
  <c r="O80" s="1"/>
  <c r="K80"/>
  <c r="H80"/>
  <c r="E80"/>
  <c r="N73"/>
  <c r="K73"/>
  <c r="H73"/>
  <c r="E73"/>
  <c r="F20" i="31"/>
  <c r="F20" i="57" s="1"/>
  <c r="G20" i="31"/>
  <c r="G20" i="57" s="1"/>
  <c r="M64" i="34"/>
  <c r="M50"/>
  <c r="J50"/>
  <c r="D50"/>
  <c r="M71"/>
  <c r="J71"/>
  <c r="D71"/>
  <c r="J64"/>
  <c r="D64"/>
  <c r="M42"/>
  <c r="J42"/>
  <c r="D42"/>
  <c r="M33"/>
  <c r="J33"/>
  <c r="D33"/>
  <c r="D16"/>
  <c r="G62"/>
  <c r="G62" i="58" s="1"/>
  <c r="G61" i="34"/>
  <c r="G61" i="58" s="1"/>
  <c r="G60" i="34"/>
  <c r="G60" i="58" s="1"/>
  <c r="G59" i="34"/>
  <c r="G59" i="58" s="1"/>
  <c r="G57" i="34"/>
  <c r="G57" i="58" s="1"/>
  <c r="G55" i="34"/>
  <c r="G55" i="58" s="1"/>
  <c r="G53" i="34"/>
  <c r="G53" i="58" s="1"/>
  <c r="G49" i="34"/>
  <c r="G49" i="58" s="1"/>
  <c r="G40" i="34"/>
  <c r="G40" i="58" s="1"/>
  <c r="G38" i="34"/>
  <c r="G38" i="58" s="1"/>
  <c r="G28" i="34"/>
  <c r="G28" i="58" s="1"/>
  <c r="G14" i="34"/>
  <c r="G14" i="58" s="1"/>
  <c r="G11" i="34"/>
  <c r="G11" i="58" s="1"/>
  <c r="T58" i="34"/>
  <c r="T57"/>
  <c r="T56"/>
  <c r="T55"/>
  <c r="T54"/>
  <c r="T53"/>
  <c r="T52"/>
  <c r="T51"/>
  <c r="T50"/>
  <c r="T49"/>
  <c r="T48"/>
  <c r="T47"/>
  <c r="T46"/>
  <c r="T44"/>
  <c r="T43"/>
  <c r="T42"/>
  <c r="T41"/>
  <c r="T40"/>
  <c r="T38"/>
  <c r="T37"/>
  <c r="T36"/>
  <c r="T35"/>
  <c r="T34"/>
  <c r="T33"/>
  <c r="T32"/>
  <c r="T30"/>
  <c r="T29"/>
  <c r="T28"/>
  <c r="T27"/>
  <c r="T26"/>
  <c r="T25"/>
  <c r="T24"/>
  <c r="T22"/>
  <c r="T21"/>
  <c r="T20"/>
  <c r="T19"/>
  <c r="T18"/>
  <c r="T14"/>
  <c r="T13"/>
  <c r="T12"/>
  <c r="T11"/>
  <c r="U10"/>
  <c r="E66" i="38"/>
  <c r="E92"/>
  <c r="E102"/>
  <c r="E62"/>
  <c r="M274" i="56"/>
  <c r="L274"/>
  <c r="H274"/>
  <c r="G274"/>
  <c r="F274"/>
  <c r="E274"/>
  <c r="D274"/>
  <c r="C274"/>
  <c r="B274"/>
  <c r="W273"/>
  <c r="W272"/>
  <c r="O272"/>
  <c r="K272"/>
  <c r="P272" s="1"/>
  <c r="J272"/>
  <c r="I272"/>
  <c r="W271"/>
  <c r="K271"/>
  <c r="P271" s="1"/>
  <c r="I271"/>
  <c r="W270"/>
  <c r="N270"/>
  <c r="K270"/>
  <c r="P270" s="1"/>
  <c r="I270"/>
  <c r="W269"/>
  <c r="O269"/>
  <c r="K269"/>
  <c r="P269" s="1"/>
  <c r="J269"/>
  <c r="I269"/>
  <c r="W268"/>
  <c r="K268"/>
  <c r="P268" s="1"/>
  <c r="I268"/>
  <c r="W267"/>
  <c r="O267"/>
  <c r="N267"/>
  <c r="K267"/>
  <c r="P267" s="1"/>
  <c r="J267"/>
  <c r="I267"/>
  <c r="W266"/>
  <c r="S266"/>
  <c r="N266"/>
  <c r="W265"/>
  <c r="K265"/>
  <c r="P265" s="1"/>
  <c r="I265"/>
  <c r="W264"/>
  <c r="K264"/>
  <c r="P264" s="1"/>
  <c r="I264"/>
  <c r="I21" s="1"/>
  <c r="W263"/>
  <c r="O263"/>
  <c r="N263"/>
  <c r="K263"/>
  <c r="P263" s="1"/>
  <c r="J263"/>
  <c r="I263"/>
  <c r="W262"/>
  <c r="K262"/>
  <c r="P262" s="1"/>
  <c r="I262"/>
  <c r="W261"/>
  <c r="K261"/>
  <c r="P261" s="1"/>
  <c r="I261"/>
  <c r="I18" s="1"/>
  <c r="W260"/>
  <c r="S260"/>
  <c r="K260" s="1"/>
  <c r="P260" s="1"/>
  <c r="N260"/>
  <c r="W259"/>
  <c r="K259"/>
  <c r="P259" s="1"/>
  <c r="I259"/>
  <c r="W258"/>
  <c r="O258"/>
  <c r="N258"/>
  <c r="K258"/>
  <c r="P258" s="1"/>
  <c r="J258"/>
  <c r="I258"/>
  <c r="W257"/>
  <c r="O257"/>
  <c r="N257"/>
  <c r="K257"/>
  <c r="P257" s="1"/>
  <c r="J257"/>
  <c r="I257"/>
  <c r="W256"/>
  <c r="K256"/>
  <c r="P256" s="1"/>
  <c r="I256"/>
  <c r="W255"/>
  <c r="K255"/>
  <c r="P255" s="1"/>
  <c r="I255"/>
  <c r="W254"/>
  <c r="K254"/>
  <c r="P254" s="1"/>
  <c r="I254"/>
  <c r="W253"/>
  <c r="P253"/>
  <c r="W252"/>
  <c r="L249"/>
  <c r="G249"/>
  <c r="B249"/>
  <c r="M247"/>
  <c r="L247"/>
  <c r="H247"/>
  <c r="G247"/>
  <c r="F247"/>
  <c r="E247"/>
  <c r="D247"/>
  <c r="C247"/>
  <c r="B247"/>
  <c r="W246"/>
  <c r="W245"/>
  <c r="O245"/>
  <c r="N245"/>
  <c r="K245"/>
  <c r="P245" s="1"/>
  <c r="J245"/>
  <c r="I245"/>
  <c r="W244"/>
  <c r="N244"/>
  <c r="K244"/>
  <c r="P244" s="1"/>
  <c r="I244"/>
  <c r="W243"/>
  <c r="S243"/>
  <c r="K243" s="1"/>
  <c r="N243"/>
  <c r="W242"/>
  <c r="O242"/>
  <c r="N242"/>
  <c r="K242"/>
  <c r="P242" s="1"/>
  <c r="J242"/>
  <c r="I242"/>
  <c r="W241"/>
  <c r="S241"/>
  <c r="K241" s="1"/>
  <c r="P241" s="1"/>
  <c r="N241"/>
  <c r="W240"/>
  <c r="S240"/>
  <c r="I240" s="1"/>
  <c r="N240"/>
  <c r="W239"/>
  <c r="S239"/>
  <c r="K239" s="1"/>
  <c r="P239" s="1"/>
  <c r="N239"/>
  <c r="W238"/>
  <c r="N238"/>
  <c r="K238"/>
  <c r="P238" s="1"/>
  <c r="W237"/>
  <c r="N237"/>
  <c r="K237"/>
  <c r="P237" s="1"/>
  <c r="W236"/>
  <c r="O236"/>
  <c r="N236"/>
  <c r="K236"/>
  <c r="P236" s="1"/>
  <c r="J236"/>
  <c r="I236"/>
  <c r="W235"/>
  <c r="N235"/>
  <c r="K235"/>
  <c r="P235" s="1"/>
  <c r="I235"/>
  <c r="W234"/>
  <c r="N234"/>
  <c r="K234"/>
  <c r="P234" s="1"/>
  <c r="W233"/>
  <c r="S233"/>
  <c r="I233" s="1"/>
  <c r="N233"/>
  <c r="W232"/>
  <c r="S232"/>
  <c r="K232" s="1"/>
  <c r="P232" s="1"/>
  <c r="N232"/>
  <c r="W231"/>
  <c r="O231"/>
  <c r="N231"/>
  <c r="K231"/>
  <c r="P231" s="1"/>
  <c r="J231"/>
  <c r="I231"/>
  <c r="W230"/>
  <c r="O230"/>
  <c r="N230"/>
  <c r="K230"/>
  <c r="P230" s="1"/>
  <c r="J230"/>
  <c r="I230"/>
  <c r="W229"/>
  <c r="K229"/>
  <c r="P229" s="1"/>
  <c r="I229"/>
  <c r="W228"/>
  <c r="K228"/>
  <c r="P228" s="1"/>
  <c r="I228"/>
  <c r="W227"/>
  <c r="K227"/>
  <c r="P227" s="1"/>
  <c r="I227"/>
  <c r="W226"/>
  <c r="P226"/>
  <c r="W225"/>
  <c r="L222"/>
  <c r="G222"/>
  <c r="B222"/>
  <c r="M220"/>
  <c r="L220"/>
  <c r="H220"/>
  <c r="G220"/>
  <c r="F220"/>
  <c r="E220"/>
  <c r="D220"/>
  <c r="C220"/>
  <c r="B220"/>
  <c r="W219"/>
  <c r="W218"/>
  <c r="O218"/>
  <c r="N218"/>
  <c r="K218"/>
  <c r="P218" s="1"/>
  <c r="J218"/>
  <c r="I218"/>
  <c r="W217"/>
  <c r="N217"/>
  <c r="K217"/>
  <c r="I217"/>
  <c r="I28" s="1"/>
  <c r="W216"/>
  <c r="O216"/>
  <c r="N216"/>
  <c r="K216"/>
  <c r="P216" s="1"/>
  <c r="J216"/>
  <c r="I216"/>
  <c r="W215"/>
  <c r="O215"/>
  <c r="N215"/>
  <c r="K215"/>
  <c r="P215" s="1"/>
  <c r="J215"/>
  <c r="I215"/>
  <c r="W214"/>
  <c r="S214"/>
  <c r="K214" s="1"/>
  <c r="N214"/>
  <c r="W213"/>
  <c r="O213"/>
  <c r="N213"/>
  <c r="K213"/>
  <c r="P213" s="1"/>
  <c r="J213"/>
  <c r="I213"/>
  <c r="W212"/>
  <c r="S212"/>
  <c r="K212" s="1"/>
  <c r="P212" s="1"/>
  <c r="N212"/>
  <c r="W211"/>
  <c r="N211"/>
  <c r="K211"/>
  <c r="P211" s="1"/>
  <c r="W210"/>
  <c r="N210"/>
  <c r="K210"/>
  <c r="P210" s="1"/>
  <c r="W209"/>
  <c r="N209"/>
  <c r="K209"/>
  <c r="P209" s="1"/>
  <c r="I209"/>
  <c r="W208"/>
  <c r="N208"/>
  <c r="K208"/>
  <c r="P208" s="1"/>
  <c r="I208"/>
  <c r="W207"/>
  <c r="N207"/>
  <c r="K207"/>
  <c r="P207" s="1"/>
  <c r="W206"/>
  <c r="N206"/>
  <c r="K206"/>
  <c r="P206" s="1"/>
  <c r="I206"/>
  <c r="W205"/>
  <c r="S205"/>
  <c r="I205" s="1"/>
  <c r="N205"/>
  <c r="W204"/>
  <c r="O204"/>
  <c r="N204"/>
  <c r="K204"/>
  <c r="P204" s="1"/>
  <c r="J204"/>
  <c r="I204"/>
  <c r="W203"/>
  <c r="O203"/>
  <c r="N203"/>
  <c r="K203"/>
  <c r="P203" s="1"/>
  <c r="J203"/>
  <c r="I203"/>
  <c r="W202"/>
  <c r="K202"/>
  <c r="P202" s="1"/>
  <c r="I202"/>
  <c r="W201"/>
  <c r="K201"/>
  <c r="I201"/>
  <c r="W200"/>
  <c r="P200"/>
  <c r="I200"/>
  <c r="W199"/>
  <c r="P199"/>
  <c r="W198"/>
  <c r="L195"/>
  <c r="G195"/>
  <c r="B195"/>
  <c r="M193"/>
  <c r="L193"/>
  <c r="H193"/>
  <c r="G193"/>
  <c r="F193"/>
  <c r="E193"/>
  <c r="D193"/>
  <c r="C193"/>
  <c r="B193"/>
  <c r="W192"/>
  <c r="W191"/>
  <c r="O191"/>
  <c r="N191"/>
  <c r="K191"/>
  <c r="J191"/>
  <c r="W190"/>
  <c r="N190"/>
  <c r="K190"/>
  <c r="P190" s="1"/>
  <c r="W189"/>
  <c r="S189"/>
  <c r="K189" s="1"/>
  <c r="P189" s="1"/>
  <c r="N189"/>
  <c r="W188"/>
  <c r="O188"/>
  <c r="N188"/>
  <c r="K188"/>
  <c r="P188" s="1"/>
  <c r="J188"/>
  <c r="I188"/>
  <c r="W187"/>
  <c r="S187"/>
  <c r="I187" s="1"/>
  <c r="N187"/>
  <c r="W186"/>
  <c r="O186"/>
  <c r="N186"/>
  <c r="K186"/>
  <c r="P186" s="1"/>
  <c r="J186"/>
  <c r="I186"/>
  <c r="W185"/>
  <c r="S185"/>
  <c r="I185" s="1"/>
  <c r="N185"/>
  <c r="W184"/>
  <c r="N184"/>
  <c r="K184"/>
  <c r="P184" s="1"/>
  <c r="W183"/>
  <c r="N183"/>
  <c r="K183"/>
  <c r="P183" s="1"/>
  <c r="W182"/>
  <c r="O182"/>
  <c r="N182"/>
  <c r="K182"/>
  <c r="P182" s="1"/>
  <c r="J182"/>
  <c r="I182"/>
  <c r="W181"/>
  <c r="S181"/>
  <c r="K181" s="1"/>
  <c r="P181" s="1"/>
  <c r="N181"/>
  <c r="W180"/>
  <c r="N180"/>
  <c r="K180"/>
  <c r="P180" s="1"/>
  <c r="W179"/>
  <c r="S179"/>
  <c r="I179" s="1"/>
  <c r="N179"/>
  <c r="W178"/>
  <c r="S178"/>
  <c r="K178" s="1"/>
  <c r="P178" s="1"/>
  <c r="N178"/>
  <c r="I178"/>
  <c r="W177"/>
  <c r="O177"/>
  <c r="N177"/>
  <c r="K177"/>
  <c r="P177" s="1"/>
  <c r="J177"/>
  <c r="I177"/>
  <c r="W176"/>
  <c r="O176"/>
  <c r="N176"/>
  <c r="K176"/>
  <c r="P176" s="1"/>
  <c r="J176"/>
  <c r="I176"/>
  <c r="W175"/>
  <c r="N175"/>
  <c r="K175"/>
  <c r="P175" s="1"/>
  <c r="I175"/>
  <c r="W174"/>
  <c r="O174"/>
  <c r="N174"/>
  <c r="K174"/>
  <c r="P174" s="1"/>
  <c r="J174"/>
  <c r="W173"/>
  <c r="W172"/>
  <c r="W171"/>
  <c r="L168"/>
  <c r="G168"/>
  <c r="B168"/>
  <c r="M166"/>
  <c r="L166"/>
  <c r="H166"/>
  <c r="G166"/>
  <c r="F166"/>
  <c r="E166"/>
  <c r="D166"/>
  <c r="C166"/>
  <c r="B166"/>
  <c r="W165"/>
  <c r="W164"/>
  <c r="O164"/>
  <c r="K164"/>
  <c r="P164" s="1"/>
  <c r="J164"/>
  <c r="W163"/>
  <c r="K163"/>
  <c r="P163" s="1"/>
  <c r="W162"/>
  <c r="S162"/>
  <c r="K162" s="1"/>
  <c r="P162" s="1"/>
  <c r="N162"/>
  <c r="W161"/>
  <c r="S161"/>
  <c r="N161"/>
  <c r="W160"/>
  <c r="S160"/>
  <c r="N160"/>
  <c r="W159"/>
  <c r="O159"/>
  <c r="N159"/>
  <c r="K159"/>
  <c r="P159" s="1"/>
  <c r="J159"/>
  <c r="I159"/>
  <c r="W158"/>
  <c r="S158"/>
  <c r="K158" s="1"/>
  <c r="P158" s="1"/>
  <c r="N158"/>
  <c r="W157"/>
  <c r="K157"/>
  <c r="P157" s="1"/>
  <c r="W156"/>
  <c r="K156"/>
  <c r="P156" s="1"/>
  <c r="W155"/>
  <c r="O155"/>
  <c r="N155"/>
  <c r="K155"/>
  <c r="P155" s="1"/>
  <c r="J155"/>
  <c r="I155"/>
  <c r="W154"/>
  <c r="S154"/>
  <c r="K154" s="1"/>
  <c r="N154"/>
  <c r="W153"/>
  <c r="K153"/>
  <c r="P153" s="1"/>
  <c r="W152"/>
  <c r="O152"/>
  <c r="O17" s="1"/>
  <c r="N152"/>
  <c r="K152"/>
  <c r="P152" s="1"/>
  <c r="J152"/>
  <c r="I152"/>
  <c r="W151"/>
  <c r="S151"/>
  <c r="K151" s="1"/>
  <c r="N151"/>
  <c r="W150"/>
  <c r="O150"/>
  <c r="N150"/>
  <c r="K150"/>
  <c r="J150"/>
  <c r="I150"/>
  <c r="W149"/>
  <c r="O149"/>
  <c r="N149"/>
  <c r="K149"/>
  <c r="P149" s="1"/>
  <c r="J149"/>
  <c r="I149"/>
  <c r="W148"/>
  <c r="S148"/>
  <c r="K148" s="1"/>
  <c r="N148"/>
  <c r="W147"/>
  <c r="P147"/>
  <c r="W146"/>
  <c r="W145"/>
  <c r="W144"/>
  <c r="L141"/>
  <c r="G141"/>
  <c r="B141"/>
  <c r="M139"/>
  <c r="L139"/>
  <c r="H139"/>
  <c r="G139"/>
  <c r="F139"/>
  <c r="E139"/>
  <c r="D139"/>
  <c r="C139"/>
  <c r="B139"/>
  <c r="W138"/>
  <c r="W137"/>
  <c r="O137"/>
  <c r="O29" s="1"/>
  <c r="K137"/>
  <c r="P137" s="1"/>
  <c r="J137"/>
  <c r="J29" s="1"/>
  <c r="K136"/>
  <c r="P136" s="1"/>
  <c r="W135"/>
  <c r="S135"/>
  <c r="K135" s="1"/>
  <c r="P135" s="1"/>
  <c r="N135"/>
  <c r="W134"/>
  <c r="O134"/>
  <c r="O26" s="1"/>
  <c r="N134"/>
  <c r="K134"/>
  <c r="P134" s="1"/>
  <c r="J134"/>
  <c r="I134"/>
  <c r="W133"/>
  <c r="S133"/>
  <c r="K133" s="1"/>
  <c r="P133" s="1"/>
  <c r="N133"/>
  <c r="W132"/>
  <c r="O132"/>
  <c r="N132"/>
  <c r="K132"/>
  <c r="P132" s="1"/>
  <c r="J132"/>
  <c r="I132"/>
  <c r="W131"/>
  <c r="S131"/>
  <c r="K131" s="1"/>
  <c r="N131"/>
  <c r="W130"/>
  <c r="K130"/>
  <c r="P130" s="1"/>
  <c r="W129"/>
  <c r="K129"/>
  <c r="P129" s="1"/>
  <c r="W128"/>
  <c r="O128"/>
  <c r="N128"/>
  <c r="K128"/>
  <c r="J128"/>
  <c r="I128"/>
  <c r="W127"/>
  <c r="S127"/>
  <c r="N127"/>
  <c r="W126"/>
  <c r="K126"/>
  <c r="P126" s="1"/>
  <c r="W125"/>
  <c r="S125"/>
  <c r="K125" s="1"/>
  <c r="P125" s="1"/>
  <c r="N125"/>
  <c r="W124"/>
  <c r="S124"/>
  <c r="I124" s="1"/>
  <c r="N124"/>
  <c r="W123"/>
  <c r="O123"/>
  <c r="N123"/>
  <c r="K123"/>
  <c r="P123" s="1"/>
  <c r="J123"/>
  <c r="I123"/>
  <c r="W122"/>
  <c r="O122"/>
  <c r="N122"/>
  <c r="K122"/>
  <c r="P122" s="1"/>
  <c r="J122"/>
  <c r="I122"/>
  <c r="W121"/>
  <c r="O121"/>
  <c r="K121"/>
  <c r="P121" s="1"/>
  <c r="J121"/>
  <c r="J13" s="1"/>
  <c r="I121"/>
  <c r="W120"/>
  <c r="P120"/>
  <c r="W119"/>
  <c r="W118"/>
  <c r="W117"/>
  <c r="L114"/>
  <c r="G114"/>
  <c r="B114"/>
  <c r="M112"/>
  <c r="L112"/>
  <c r="H112"/>
  <c r="G112"/>
  <c r="F112"/>
  <c r="E112"/>
  <c r="D112"/>
  <c r="C112"/>
  <c r="B112"/>
  <c r="W111"/>
  <c r="W110"/>
  <c r="K110"/>
  <c r="P110" s="1"/>
  <c r="W109"/>
  <c r="K109"/>
  <c r="P109" s="1"/>
  <c r="W108"/>
  <c r="S108"/>
  <c r="N108"/>
  <c r="W107"/>
  <c r="S107"/>
  <c r="I107" s="1"/>
  <c r="N107"/>
  <c r="W106"/>
  <c r="S106"/>
  <c r="K106" s="1"/>
  <c r="P106" s="1"/>
  <c r="N106"/>
  <c r="W105"/>
  <c r="S105"/>
  <c r="K105" s="1"/>
  <c r="P105" s="1"/>
  <c r="N105"/>
  <c r="I105"/>
  <c r="W104"/>
  <c r="S104"/>
  <c r="I104" s="1"/>
  <c r="N104"/>
  <c r="K104"/>
  <c r="P104" s="1"/>
  <c r="W103"/>
  <c r="N103"/>
  <c r="K103"/>
  <c r="P103" s="1"/>
  <c r="W102"/>
  <c r="N102"/>
  <c r="K102"/>
  <c r="P102" s="1"/>
  <c r="W101"/>
  <c r="O101"/>
  <c r="N101"/>
  <c r="K101"/>
  <c r="P101" s="1"/>
  <c r="J101"/>
  <c r="I101"/>
  <c r="W100"/>
  <c r="N100"/>
  <c r="K100"/>
  <c r="P100" s="1"/>
  <c r="I100"/>
  <c r="W99"/>
  <c r="N99"/>
  <c r="K99"/>
  <c r="P99" s="1"/>
  <c r="W98"/>
  <c r="N98"/>
  <c r="K98"/>
  <c r="P98" s="1"/>
  <c r="I98"/>
  <c r="W97"/>
  <c r="N97"/>
  <c r="K97"/>
  <c r="P97" s="1"/>
  <c r="I97"/>
  <c r="W96"/>
  <c r="O96"/>
  <c r="N96"/>
  <c r="K96"/>
  <c r="P96" s="1"/>
  <c r="J96"/>
  <c r="I96"/>
  <c r="W95"/>
  <c r="S95"/>
  <c r="K95" s="1"/>
  <c r="N95"/>
  <c r="W94"/>
  <c r="N94"/>
  <c r="K94"/>
  <c r="P94" s="1"/>
  <c r="I94"/>
  <c r="W93"/>
  <c r="S93"/>
  <c r="K93" s="1"/>
  <c r="N93"/>
  <c r="W92"/>
  <c r="W91"/>
  <c r="W90"/>
  <c r="L87"/>
  <c r="G87"/>
  <c r="B87"/>
  <c r="M85"/>
  <c r="L85"/>
  <c r="H85"/>
  <c r="G85"/>
  <c r="F85"/>
  <c r="E85"/>
  <c r="D85"/>
  <c r="C85"/>
  <c r="B85"/>
  <c r="W84"/>
  <c r="W83"/>
  <c r="N83"/>
  <c r="K83"/>
  <c r="P83" s="1"/>
  <c r="W82"/>
  <c r="N82"/>
  <c r="K82"/>
  <c r="P82" s="1"/>
  <c r="W81"/>
  <c r="S81"/>
  <c r="N81"/>
  <c r="W80"/>
  <c r="N80"/>
  <c r="K80"/>
  <c r="P80" s="1"/>
  <c r="I80"/>
  <c r="W79"/>
  <c r="S79"/>
  <c r="I79" s="1"/>
  <c r="N79"/>
  <c r="W78"/>
  <c r="O78"/>
  <c r="N78"/>
  <c r="K78"/>
  <c r="P78" s="1"/>
  <c r="J78"/>
  <c r="I78"/>
  <c r="W77"/>
  <c r="S77"/>
  <c r="K77" s="1"/>
  <c r="P77" s="1"/>
  <c r="N77"/>
  <c r="W76"/>
  <c r="N76"/>
  <c r="K76"/>
  <c r="W75"/>
  <c r="N75"/>
  <c r="N21" s="1"/>
  <c r="K75"/>
  <c r="W74"/>
  <c r="O74"/>
  <c r="N74"/>
  <c r="K74"/>
  <c r="P74" s="1"/>
  <c r="J74"/>
  <c r="I74"/>
  <c r="W73"/>
  <c r="N73"/>
  <c r="K73"/>
  <c r="P73" s="1"/>
  <c r="I73"/>
  <c r="W72"/>
  <c r="N72"/>
  <c r="K72"/>
  <c r="P72" s="1"/>
  <c r="W71"/>
  <c r="N71"/>
  <c r="K71"/>
  <c r="P71" s="1"/>
  <c r="I71"/>
  <c r="W70"/>
  <c r="S70"/>
  <c r="N70"/>
  <c r="W69"/>
  <c r="O69"/>
  <c r="N69"/>
  <c r="K69"/>
  <c r="P69" s="1"/>
  <c r="J69"/>
  <c r="I69"/>
  <c r="W68"/>
  <c r="O68"/>
  <c r="N68"/>
  <c r="K68"/>
  <c r="P68" s="1"/>
  <c r="J68"/>
  <c r="I68"/>
  <c r="W67"/>
  <c r="S67"/>
  <c r="K67" s="1"/>
  <c r="N67"/>
  <c r="W66"/>
  <c r="W65"/>
  <c r="W64"/>
  <c r="W63"/>
  <c r="L60"/>
  <c r="G60"/>
  <c r="B60"/>
  <c r="M58"/>
  <c r="L58"/>
  <c r="H58"/>
  <c r="G58"/>
  <c r="F58"/>
  <c r="E58"/>
  <c r="D58"/>
  <c r="C58"/>
  <c r="B58"/>
  <c r="W57"/>
  <c r="W56"/>
  <c r="N56"/>
  <c r="W55"/>
  <c r="N55"/>
  <c r="W54"/>
  <c r="S54"/>
  <c r="N54"/>
  <c r="K54"/>
  <c r="I54"/>
  <c r="W53"/>
  <c r="S53"/>
  <c r="N53"/>
  <c r="W52"/>
  <c r="N52"/>
  <c r="K52"/>
  <c r="I52"/>
  <c r="W51"/>
  <c r="O51"/>
  <c r="N51"/>
  <c r="K51"/>
  <c r="J51"/>
  <c r="I51"/>
  <c r="W50"/>
  <c r="S50"/>
  <c r="N50"/>
  <c r="W49"/>
  <c r="N49"/>
  <c r="N22" s="1"/>
  <c r="K49"/>
  <c r="W48"/>
  <c r="N48"/>
  <c r="K48"/>
  <c r="W47"/>
  <c r="O47"/>
  <c r="N47"/>
  <c r="K47"/>
  <c r="P47" s="1"/>
  <c r="J47"/>
  <c r="I47"/>
  <c r="W46"/>
  <c r="N46"/>
  <c r="K46"/>
  <c r="W45"/>
  <c r="N45"/>
  <c r="K45"/>
  <c r="W44"/>
  <c r="N44"/>
  <c r="K44"/>
  <c r="I44"/>
  <c r="W43"/>
  <c r="S43"/>
  <c r="I43" s="1"/>
  <c r="N43"/>
  <c r="W42"/>
  <c r="O42"/>
  <c r="N42"/>
  <c r="K42"/>
  <c r="P42" s="1"/>
  <c r="J42"/>
  <c r="I42"/>
  <c r="W41"/>
  <c r="O41"/>
  <c r="N41"/>
  <c r="K41"/>
  <c r="P41" s="1"/>
  <c r="J41"/>
  <c r="I41"/>
  <c r="W40"/>
  <c r="S40"/>
  <c r="N40"/>
  <c r="W39"/>
  <c r="N39"/>
  <c r="W38"/>
  <c r="N38"/>
  <c r="N11" s="1"/>
  <c r="W37"/>
  <c r="W36"/>
  <c r="L33"/>
  <c r="G33"/>
  <c r="B33"/>
  <c r="P30"/>
  <c r="O30"/>
  <c r="N30"/>
  <c r="M30"/>
  <c r="L30"/>
  <c r="K30"/>
  <c r="J30"/>
  <c r="I30"/>
  <c r="H30"/>
  <c r="G30"/>
  <c r="F30"/>
  <c r="E30"/>
  <c r="D30"/>
  <c r="C30"/>
  <c r="B30"/>
  <c r="M29"/>
  <c r="L29"/>
  <c r="H29"/>
  <c r="G29"/>
  <c r="F29"/>
  <c r="E29"/>
  <c r="D29"/>
  <c r="C29"/>
  <c r="B29"/>
  <c r="O28"/>
  <c r="M28"/>
  <c r="L28"/>
  <c r="J28"/>
  <c r="H28"/>
  <c r="G28"/>
  <c r="F28"/>
  <c r="E28"/>
  <c r="D28"/>
  <c r="C28"/>
  <c r="B28"/>
  <c r="O27"/>
  <c r="M27"/>
  <c r="L27"/>
  <c r="J27"/>
  <c r="H27"/>
  <c r="G27"/>
  <c r="F27"/>
  <c r="E27"/>
  <c r="D27"/>
  <c r="C27"/>
  <c r="B27"/>
  <c r="M26"/>
  <c r="L26"/>
  <c r="H26"/>
  <c r="G26"/>
  <c r="F26"/>
  <c r="E26"/>
  <c r="D26"/>
  <c r="C26"/>
  <c r="B26"/>
  <c r="O25"/>
  <c r="M25"/>
  <c r="L25"/>
  <c r="J25"/>
  <c r="H25"/>
  <c r="G25"/>
  <c r="F25"/>
  <c r="E25"/>
  <c r="D25"/>
  <c r="C25"/>
  <c r="B25"/>
  <c r="M24"/>
  <c r="L24"/>
  <c r="H24"/>
  <c r="G24"/>
  <c r="F24"/>
  <c r="E24"/>
  <c r="D24"/>
  <c r="C24"/>
  <c r="B24"/>
  <c r="O23"/>
  <c r="M23"/>
  <c r="L23"/>
  <c r="J23"/>
  <c r="H23"/>
  <c r="G23"/>
  <c r="F23"/>
  <c r="E23"/>
  <c r="D23"/>
  <c r="C23"/>
  <c r="B23"/>
  <c r="O22"/>
  <c r="M22"/>
  <c r="L22"/>
  <c r="J22"/>
  <c r="I22"/>
  <c r="H22"/>
  <c r="G22"/>
  <c r="F22"/>
  <c r="E22"/>
  <c r="D22"/>
  <c r="C22"/>
  <c r="B22"/>
  <c r="O21"/>
  <c r="M21"/>
  <c r="L21"/>
  <c r="J21"/>
  <c r="H21"/>
  <c r="G21"/>
  <c r="F21"/>
  <c r="E21"/>
  <c r="D21"/>
  <c r="C21"/>
  <c r="B21"/>
  <c r="M20"/>
  <c r="L20"/>
  <c r="H20"/>
  <c r="G20"/>
  <c r="F20"/>
  <c r="E20"/>
  <c r="D20"/>
  <c r="C20"/>
  <c r="B20"/>
  <c r="O19"/>
  <c r="M19"/>
  <c r="L19"/>
  <c r="J19"/>
  <c r="H19"/>
  <c r="G19"/>
  <c r="F19"/>
  <c r="E19"/>
  <c r="D19"/>
  <c r="C19"/>
  <c r="B19"/>
  <c r="O18"/>
  <c r="M18"/>
  <c r="L18"/>
  <c r="J18"/>
  <c r="H18"/>
  <c r="G18"/>
  <c r="F18"/>
  <c r="E18"/>
  <c r="D18"/>
  <c r="C18"/>
  <c r="B18"/>
  <c r="M17"/>
  <c r="L17"/>
  <c r="J17"/>
  <c r="H17"/>
  <c r="G17"/>
  <c r="F17"/>
  <c r="E17"/>
  <c r="D17"/>
  <c r="C17"/>
  <c r="B17"/>
  <c r="O16"/>
  <c r="M16"/>
  <c r="L16"/>
  <c r="J16"/>
  <c r="H16"/>
  <c r="G16"/>
  <c r="F16"/>
  <c r="E16"/>
  <c r="D16"/>
  <c r="C16"/>
  <c r="B16"/>
  <c r="M15"/>
  <c r="L15"/>
  <c r="H15"/>
  <c r="G15"/>
  <c r="F15"/>
  <c r="E15"/>
  <c r="D15"/>
  <c r="C15"/>
  <c r="B15"/>
  <c r="M14"/>
  <c r="L14"/>
  <c r="H14"/>
  <c r="G14"/>
  <c r="F14"/>
  <c r="E14"/>
  <c r="D14"/>
  <c r="C14"/>
  <c r="B14"/>
  <c r="O13"/>
  <c r="M13"/>
  <c r="L13"/>
  <c r="H13"/>
  <c r="G13"/>
  <c r="F13"/>
  <c r="E13"/>
  <c r="D13"/>
  <c r="C13"/>
  <c r="B13"/>
  <c r="O12"/>
  <c r="M12"/>
  <c r="L12"/>
  <c r="J12"/>
  <c r="H12"/>
  <c r="G12"/>
  <c r="F12"/>
  <c r="E12"/>
  <c r="D12"/>
  <c r="C12"/>
  <c r="B12"/>
  <c r="O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P9"/>
  <c r="O9"/>
  <c r="N9"/>
  <c r="M9"/>
  <c r="L9"/>
  <c r="K9"/>
  <c r="J9"/>
  <c r="I9"/>
  <c r="H9"/>
  <c r="G9"/>
  <c r="F9"/>
  <c r="E9"/>
  <c r="D9"/>
  <c r="C9"/>
  <c r="B9"/>
  <c r="U35" i="55"/>
  <c r="U34"/>
  <c r="M34"/>
  <c r="L34"/>
  <c r="H34"/>
  <c r="G34"/>
  <c r="F34"/>
  <c r="E34"/>
  <c r="D34"/>
  <c r="C34"/>
  <c r="B34"/>
  <c r="U33"/>
  <c r="O33"/>
  <c r="N33"/>
  <c r="K33"/>
  <c r="P33" s="1"/>
  <c r="J33"/>
  <c r="I33"/>
  <c r="Y32"/>
  <c r="U32"/>
  <c r="O32"/>
  <c r="N32"/>
  <c r="K32"/>
  <c r="P32" s="1"/>
  <c r="J32"/>
  <c r="I32"/>
  <c r="Y31"/>
  <c r="U31"/>
  <c r="O31"/>
  <c r="N31"/>
  <c r="K31"/>
  <c r="P31" s="1"/>
  <c r="J31"/>
  <c r="I31"/>
  <c r="Y30"/>
  <c r="K30" s="1"/>
  <c r="P30" s="1"/>
  <c r="U30"/>
  <c r="O30"/>
  <c r="N30"/>
  <c r="J30"/>
  <c r="I30"/>
  <c r="Y29"/>
  <c r="U29"/>
  <c r="O29"/>
  <c r="N29"/>
  <c r="K29"/>
  <c r="J29"/>
  <c r="I29"/>
  <c r="Y28"/>
  <c r="U28"/>
  <c r="M28"/>
  <c r="L28"/>
  <c r="H28"/>
  <c r="G28"/>
  <c r="F28"/>
  <c r="E28"/>
  <c r="D28"/>
  <c r="C28"/>
  <c r="B28"/>
  <c r="Y27"/>
  <c r="K27" s="1"/>
  <c r="P27" s="1"/>
  <c r="U27"/>
  <c r="O27"/>
  <c r="N27"/>
  <c r="J27"/>
  <c r="I27"/>
  <c r="Y26"/>
  <c r="K26" s="1"/>
  <c r="P26" s="1"/>
  <c r="U26"/>
  <c r="O26"/>
  <c r="N26"/>
  <c r="J26"/>
  <c r="I26"/>
  <c r="W25"/>
  <c r="Y25" s="1"/>
  <c r="K25" s="1"/>
  <c r="P25" s="1"/>
  <c r="U25"/>
  <c r="O25"/>
  <c r="N25"/>
  <c r="J25"/>
  <c r="I25"/>
  <c r="Y24"/>
  <c r="K24" s="1"/>
  <c r="P24" s="1"/>
  <c r="U24"/>
  <c r="O24"/>
  <c r="N24"/>
  <c r="J24"/>
  <c r="I24"/>
  <c r="W23"/>
  <c r="Y23" s="1"/>
  <c r="K23" s="1"/>
  <c r="P23" s="1"/>
  <c r="U23"/>
  <c r="O23"/>
  <c r="N23"/>
  <c r="J23"/>
  <c r="I23"/>
  <c r="Y22"/>
  <c r="K22" s="1"/>
  <c r="P22" s="1"/>
  <c r="U22"/>
  <c r="O22"/>
  <c r="N22"/>
  <c r="J22"/>
  <c r="I22"/>
  <c r="Y21"/>
  <c r="K21" s="1"/>
  <c r="P21" s="1"/>
  <c r="U21"/>
  <c r="O21"/>
  <c r="N21"/>
  <c r="J21"/>
  <c r="I21"/>
  <c r="Y20"/>
  <c r="U20"/>
  <c r="O20"/>
  <c r="N20"/>
  <c r="K20"/>
  <c r="P20" s="1"/>
  <c r="J20"/>
  <c r="I20"/>
  <c r="Y19"/>
  <c r="U19"/>
  <c r="O19"/>
  <c r="N19"/>
  <c r="K19"/>
  <c r="P19" s="1"/>
  <c r="J19"/>
  <c r="I19"/>
  <c r="Y18"/>
  <c r="K18" s="1"/>
  <c r="P18" s="1"/>
  <c r="T18"/>
  <c r="U18" s="1"/>
  <c r="O18"/>
  <c r="N18"/>
  <c r="J18"/>
  <c r="I18"/>
  <c r="Y17"/>
  <c r="K17" s="1"/>
  <c r="U17"/>
  <c r="O17"/>
  <c r="N17"/>
  <c r="J17"/>
  <c r="I17"/>
  <c r="Y16"/>
  <c r="U16"/>
  <c r="M16"/>
  <c r="L16"/>
  <c r="H16"/>
  <c r="G16"/>
  <c r="F16"/>
  <c r="E16"/>
  <c r="D16"/>
  <c r="C16"/>
  <c r="B16"/>
  <c r="Y15"/>
  <c r="U15"/>
  <c r="O15"/>
  <c r="N15"/>
  <c r="K15"/>
  <c r="P15" s="1"/>
  <c r="J15"/>
  <c r="I15"/>
  <c r="Y14"/>
  <c r="K14" s="1"/>
  <c r="P14" s="1"/>
  <c r="U14"/>
  <c r="O14"/>
  <c r="N14"/>
  <c r="J14"/>
  <c r="I14"/>
  <c r="Y13"/>
  <c r="K13" s="1"/>
  <c r="P13" s="1"/>
  <c r="U13"/>
  <c r="O13"/>
  <c r="N13"/>
  <c r="J13"/>
  <c r="I13"/>
  <c r="Y12"/>
  <c r="K12" s="1"/>
  <c r="P12" s="1"/>
  <c r="U12"/>
  <c r="O12"/>
  <c r="N12"/>
  <c r="J12"/>
  <c r="I12"/>
  <c r="Y11"/>
  <c r="U11"/>
  <c r="P11"/>
  <c r="W10"/>
  <c r="Y10" s="1"/>
  <c r="K10" s="1"/>
  <c r="T10"/>
  <c r="U10" s="1"/>
  <c r="R10"/>
  <c r="O10"/>
  <c r="N10"/>
  <c r="J10"/>
  <c r="I10"/>
  <c r="K400" i="54"/>
  <c r="I400"/>
  <c r="G400"/>
  <c r="F400"/>
  <c r="E400"/>
  <c r="D400"/>
  <c r="C400"/>
  <c r="H399"/>
  <c r="J399" s="1"/>
  <c r="H398"/>
  <c r="H397"/>
  <c r="J397" s="1"/>
  <c r="H396"/>
  <c r="H395"/>
  <c r="J395" s="1"/>
  <c r="H394"/>
  <c r="H393"/>
  <c r="D389"/>
  <c r="I387"/>
  <c r="G387"/>
  <c r="F387"/>
  <c r="E387"/>
  <c r="D387"/>
  <c r="C387"/>
  <c r="K386"/>
  <c r="K373" s="1"/>
  <c r="H386"/>
  <c r="J386" s="1"/>
  <c r="H385"/>
  <c r="K384"/>
  <c r="K371" s="1"/>
  <c r="H384"/>
  <c r="J384" s="1"/>
  <c r="H383"/>
  <c r="K382"/>
  <c r="H382"/>
  <c r="J382" s="1"/>
  <c r="H381"/>
  <c r="K380"/>
  <c r="H380"/>
  <c r="J380" s="1"/>
  <c r="D376"/>
  <c r="I374"/>
  <c r="G374"/>
  <c r="F374"/>
  <c r="E374"/>
  <c r="D374"/>
  <c r="C374"/>
  <c r="H373"/>
  <c r="J373" s="1"/>
  <c r="H372"/>
  <c r="H371"/>
  <c r="J371" s="1"/>
  <c r="H370"/>
  <c r="H369"/>
  <c r="J369" s="1"/>
  <c r="H368"/>
  <c r="H367"/>
  <c r="J367" s="1"/>
  <c r="D363"/>
  <c r="K361"/>
  <c r="I361"/>
  <c r="G361"/>
  <c r="F361"/>
  <c r="E361"/>
  <c r="D361"/>
  <c r="C361"/>
  <c r="H360"/>
  <c r="J360" s="1"/>
  <c r="H359"/>
  <c r="H358"/>
  <c r="J358" s="1"/>
  <c r="H357"/>
  <c r="H356"/>
  <c r="J356" s="1"/>
  <c r="H355"/>
  <c r="H354"/>
  <c r="J354" s="1"/>
  <c r="D350"/>
  <c r="I348"/>
  <c r="G348"/>
  <c r="F348"/>
  <c r="E348"/>
  <c r="D348"/>
  <c r="C348"/>
  <c r="K347"/>
  <c r="K334" s="1"/>
  <c r="H347"/>
  <c r="J347" s="1"/>
  <c r="H346"/>
  <c r="K345"/>
  <c r="K332" s="1"/>
  <c r="H345"/>
  <c r="J345" s="1"/>
  <c r="H344"/>
  <c r="K343"/>
  <c r="H343"/>
  <c r="J343" s="1"/>
  <c r="H342"/>
  <c r="K341"/>
  <c r="H341"/>
  <c r="D337"/>
  <c r="I335"/>
  <c r="G335"/>
  <c r="F335"/>
  <c r="E335"/>
  <c r="D335"/>
  <c r="C335"/>
  <c r="H334"/>
  <c r="J334" s="1"/>
  <c r="H333"/>
  <c r="H332"/>
  <c r="J332" s="1"/>
  <c r="H331"/>
  <c r="H330"/>
  <c r="J330" s="1"/>
  <c r="H329"/>
  <c r="H328"/>
  <c r="J328" s="1"/>
  <c r="D324"/>
  <c r="K322"/>
  <c r="I322"/>
  <c r="H322"/>
  <c r="G322"/>
  <c r="F322"/>
  <c r="E322"/>
  <c r="D322"/>
  <c r="C322"/>
  <c r="J321"/>
  <c r="J319"/>
  <c r="J317"/>
  <c r="J315"/>
  <c r="D311"/>
  <c r="I309"/>
  <c r="G309"/>
  <c r="F309"/>
  <c r="E309"/>
  <c r="D309"/>
  <c r="C309"/>
  <c r="K308"/>
  <c r="K295" s="1"/>
  <c r="H308"/>
  <c r="J308" s="1"/>
  <c r="H307"/>
  <c r="M306"/>
  <c r="K306" s="1"/>
  <c r="H306"/>
  <c r="J306" s="1"/>
  <c r="H305"/>
  <c r="K304"/>
  <c r="K291" s="1"/>
  <c r="H304"/>
  <c r="J304" s="1"/>
  <c r="H303"/>
  <c r="K302"/>
  <c r="H302"/>
  <c r="D298"/>
  <c r="I296"/>
  <c r="G296"/>
  <c r="F296"/>
  <c r="E296"/>
  <c r="D296"/>
  <c r="C296"/>
  <c r="H295"/>
  <c r="J295" s="1"/>
  <c r="H294"/>
  <c r="H293"/>
  <c r="J293" s="1"/>
  <c r="H292"/>
  <c r="H291"/>
  <c r="J291" s="1"/>
  <c r="H290"/>
  <c r="K289"/>
  <c r="H289"/>
  <c r="D285"/>
  <c r="K283"/>
  <c r="I283"/>
  <c r="H283"/>
  <c r="G283"/>
  <c r="F283"/>
  <c r="E283"/>
  <c r="D283"/>
  <c r="C283"/>
  <c r="J282"/>
  <c r="J280"/>
  <c r="J278"/>
  <c r="J276"/>
  <c r="D272"/>
  <c r="I270"/>
  <c r="G270"/>
  <c r="F270"/>
  <c r="E270"/>
  <c r="D270"/>
  <c r="C270"/>
  <c r="K269"/>
  <c r="H269"/>
  <c r="J269" s="1"/>
  <c r="H268"/>
  <c r="K267"/>
  <c r="H267"/>
  <c r="J267" s="1"/>
  <c r="H266"/>
  <c r="K265"/>
  <c r="K252" s="1"/>
  <c r="H265"/>
  <c r="J265" s="1"/>
  <c r="H264"/>
  <c r="K263"/>
  <c r="H263"/>
  <c r="J263" s="1"/>
  <c r="D259"/>
  <c r="I257"/>
  <c r="G257"/>
  <c r="F257"/>
  <c r="E257"/>
  <c r="D257"/>
  <c r="C257"/>
  <c r="K256"/>
  <c r="H256"/>
  <c r="J256" s="1"/>
  <c r="H255"/>
  <c r="K254"/>
  <c r="H254"/>
  <c r="J254" s="1"/>
  <c r="H253"/>
  <c r="H252"/>
  <c r="J252" s="1"/>
  <c r="H251"/>
  <c r="H250"/>
  <c r="D246"/>
  <c r="K244"/>
  <c r="I244"/>
  <c r="H244"/>
  <c r="G244"/>
  <c r="F244"/>
  <c r="E244"/>
  <c r="D244"/>
  <c r="C244"/>
  <c r="J243"/>
  <c r="J241"/>
  <c r="J239"/>
  <c r="J237"/>
  <c r="D233"/>
  <c r="G231"/>
  <c r="F231"/>
  <c r="E231"/>
  <c r="D231"/>
  <c r="C231"/>
  <c r="K230"/>
  <c r="K217" s="1"/>
  <c r="H230"/>
  <c r="J230" s="1"/>
  <c r="H229"/>
  <c r="K228"/>
  <c r="K215" s="1"/>
  <c r="H228"/>
  <c r="J228" s="1"/>
  <c r="H227"/>
  <c r="K226"/>
  <c r="K213" s="1"/>
  <c r="H226"/>
  <c r="J226" s="1"/>
  <c r="H225"/>
  <c r="I224"/>
  <c r="I231" s="1"/>
  <c r="H224"/>
  <c r="J224" s="1"/>
  <c r="D220"/>
  <c r="G218"/>
  <c r="F218"/>
  <c r="E218"/>
  <c r="D218"/>
  <c r="C218"/>
  <c r="H217"/>
  <c r="J217" s="1"/>
  <c r="H216"/>
  <c r="H215"/>
  <c r="J215" s="1"/>
  <c r="H214"/>
  <c r="H213"/>
  <c r="J213" s="1"/>
  <c r="H212"/>
  <c r="I211"/>
  <c r="I218" s="1"/>
  <c r="H211"/>
  <c r="D207"/>
  <c r="K205"/>
  <c r="I205"/>
  <c r="H205"/>
  <c r="G205"/>
  <c r="F205"/>
  <c r="E205"/>
  <c r="D205"/>
  <c r="C205"/>
  <c r="J204"/>
  <c r="J202"/>
  <c r="J200"/>
  <c r="J198"/>
  <c r="D194"/>
  <c r="G192"/>
  <c r="F192"/>
  <c r="E192"/>
  <c r="D192"/>
  <c r="C192"/>
  <c r="K191"/>
  <c r="K178" s="1"/>
  <c r="H191"/>
  <c r="J191" s="1"/>
  <c r="H190"/>
  <c r="K189"/>
  <c r="K176" s="1"/>
  <c r="H189"/>
  <c r="J189" s="1"/>
  <c r="H188"/>
  <c r="K187"/>
  <c r="K174" s="1"/>
  <c r="H187"/>
  <c r="J187" s="1"/>
  <c r="H186"/>
  <c r="K185"/>
  <c r="K172" s="1"/>
  <c r="I185"/>
  <c r="I192" s="1"/>
  <c r="H185"/>
  <c r="D181"/>
  <c r="G179"/>
  <c r="F179"/>
  <c r="E179"/>
  <c r="D179"/>
  <c r="C179"/>
  <c r="H178"/>
  <c r="J178" s="1"/>
  <c r="H177"/>
  <c r="H176"/>
  <c r="J176" s="1"/>
  <c r="H175"/>
  <c r="H174"/>
  <c r="J174" s="1"/>
  <c r="H173"/>
  <c r="I172"/>
  <c r="I179" s="1"/>
  <c r="H172"/>
  <c r="J172" s="1"/>
  <c r="D168"/>
  <c r="K166"/>
  <c r="I166"/>
  <c r="H166"/>
  <c r="G166"/>
  <c r="F166"/>
  <c r="E166"/>
  <c r="D166"/>
  <c r="C166"/>
  <c r="J165"/>
  <c r="J163"/>
  <c r="J161"/>
  <c r="J159"/>
  <c r="D155"/>
  <c r="I153"/>
  <c r="G153"/>
  <c r="F153"/>
  <c r="E153"/>
  <c r="D153"/>
  <c r="C153"/>
  <c r="K152"/>
  <c r="H152"/>
  <c r="J152" s="1"/>
  <c r="H151"/>
  <c r="K150"/>
  <c r="H150"/>
  <c r="J150" s="1"/>
  <c r="H149"/>
  <c r="K148"/>
  <c r="K135" s="1"/>
  <c r="H148"/>
  <c r="J148" s="1"/>
  <c r="H147"/>
  <c r="K146"/>
  <c r="H146"/>
  <c r="J146" s="1"/>
  <c r="D142"/>
  <c r="I140"/>
  <c r="G140"/>
  <c r="F140"/>
  <c r="E140"/>
  <c r="D140"/>
  <c r="C140"/>
  <c r="K139"/>
  <c r="H139"/>
  <c r="J139" s="1"/>
  <c r="H138"/>
  <c r="H137"/>
  <c r="J137" s="1"/>
  <c r="H136"/>
  <c r="H135"/>
  <c r="J135" s="1"/>
  <c r="H134"/>
  <c r="K133"/>
  <c r="H133"/>
  <c r="J133" s="1"/>
  <c r="D129"/>
  <c r="K127"/>
  <c r="I127"/>
  <c r="H127"/>
  <c r="G127"/>
  <c r="F127"/>
  <c r="E127"/>
  <c r="D127"/>
  <c r="C127"/>
  <c r="J126"/>
  <c r="J124"/>
  <c r="J122"/>
  <c r="J120"/>
  <c r="D116"/>
  <c r="I114"/>
  <c r="G114"/>
  <c r="F114"/>
  <c r="E114"/>
  <c r="D114"/>
  <c r="C114"/>
  <c r="M113"/>
  <c r="K113" s="1"/>
  <c r="K100" s="1"/>
  <c r="H113"/>
  <c r="J113" s="1"/>
  <c r="H112"/>
  <c r="M111"/>
  <c r="K111" s="1"/>
  <c r="K98" s="1"/>
  <c r="H111"/>
  <c r="J111" s="1"/>
  <c r="H110"/>
  <c r="K109"/>
  <c r="H109"/>
  <c r="J109" s="1"/>
  <c r="H108"/>
  <c r="M107"/>
  <c r="K107" s="1"/>
  <c r="H107"/>
  <c r="D103"/>
  <c r="I101"/>
  <c r="G101"/>
  <c r="F101"/>
  <c r="E101"/>
  <c r="D101"/>
  <c r="C101"/>
  <c r="H100"/>
  <c r="J100" s="1"/>
  <c r="H99"/>
  <c r="H98"/>
  <c r="J98" s="1"/>
  <c r="H97"/>
  <c r="K96"/>
  <c r="H96"/>
  <c r="J96" s="1"/>
  <c r="H95"/>
  <c r="H94"/>
  <c r="D90"/>
  <c r="K88"/>
  <c r="I88"/>
  <c r="H88"/>
  <c r="G88"/>
  <c r="F88"/>
  <c r="E88"/>
  <c r="D88"/>
  <c r="C88"/>
  <c r="J87"/>
  <c r="J85"/>
  <c r="J83"/>
  <c r="J81"/>
  <c r="D77"/>
  <c r="I75"/>
  <c r="G75"/>
  <c r="F75"/>
  <c r="E75"/>
  <c r="D75"/>
  <c r="C75"/>
  <c r="K74"/>
  <c r="K61" s="1"/>
  <c r="H74"/>
  <c r="J74" s="1"/>
  <c r="H73"/>
  <c r="K72"/>
  <c r="K59" s="1"/>
  <c r="H72"/>
  <c r="J72" s="1"/>
  <c r="H71"/>
  <c r="K70"/>
  <c r="H70"/>
  <c r="J70" s="1"/>
  <c r="H69"/>
  <c r="K68"/>
  <c r="H68"/>
  <c r="D64"/>
  <c r="I62"/>
  <c r="G62"/>
  <c r="F62"/>
  <c r="E62"/>
  <c r="D62"/>
  <c r="C62"/>
  <c r="H61"/>
  <c r="J61" s="1"/>
  <c r="H60"/>
  <c r="H59"/>
  <c r="J59" s="1"/>
  <c r="H58"/>
  <c r="K57"/>
  <c r="H57"/>
  <c r="J57" s="1"/>
  <c r="H56"/>
  <c r="K55"/>
  <c r="H55"/>
  <c r="D51"/>
  <c r="K45"/>
  <c r="I45"/>
  <c r="G45"/>
  <c r="F45"/>
  <c r="E45"/>
  <c r="D45"/>
  <c r="C45"/>
  <c r="K44"/>
  <c r="I44"/>
  <c r="H44"/>
  <c r="K43"/>
  <c r="I43"/>
  <c r="G43"/>
  <c r="F43"/>
  <c r="E43"/>
  <c r="D43"/>
  <c r="C43"/>
  <c r="K42"/>
  <c r="I42"/>
  <c r="H42"/>
  <c r="K41"/>
  <c r="I41"/>
  <c r="G41"/>
  <c r="F41"/>
  <c r="E41"/>
  <c r="D41"/>
  <c r="C41"/>
  <c r="K40"/>
  <c r="I40"/>
  <c r="H40"/>
  <c r="K39"/>
  <c r="I39"/>
  <c r="G39"/>
  <c r="F39"/>
  <c r="E39"/>
  <c r="D39"/>
  <c r="C39"/>
  <c r="I32"/>
  <c r="G32"/>
  <c r="F32"/>
  <c r="E32"/>
  <c r="D32"/>
  <c r="C32"/>
  <c r="K31"/>
  <c r="I31"/>
  <c r="H31"/>
  <c r="I30"/>
  <c r="G30"/>
  <c r="F30"/>
  <c r="E30"/>
  <c r="D30"/>
  <c r="C30"/>
  <c r="K29"/>
  <c r="I29"/>
  <c r="H29"/>
  <c r="I28"/>
  <c r="G28"/>
  <c r="F28"/>
  <c r="E28"/>
  <c r="D28"/>
  <c r="C28"/>
  <c r="K27"/>
  <c r="I27"/>
  <c r="H27"/>
  <c r="G26"/>
  <c r="F26"/>
  <c r="E26"/>
  <c r="D26"/>
  <c r="C26"/>
  <c r="I19"/>
  <c r="G19"/>
  <c r="F19"/>
  <c r="E19"/>
  <c r="D19"/>
  <c r="C19"/>
  <c r="I17"/>
  <c r="G17"/>
  <c r="F17"/>
  <c r="E17"/>
  <c r="D17"/>
  <c r="C17"/>
  <c r="I15"/>
  <c r="G15"/>
  <c r="F15"/>
  <c r="E15"/>
  <c r="D15"/>
  <c r="C15"/>
  <c r="G13"/>
  <c r="F13"/>
  <c r="F20" s="1"/>
  <c r="E13"/>
  <c r="D13"/>
  <c r="C13"/>
  <c r="V48" i="53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V46"/>
  <c r="V49" s="1"/>
  <c r="V51" s="1"/>
  <c r="U46"/>
  <c r="U49" s="1"/>
  <c r="U51" s="1"/>
  <c r="T46"/>
  <c r="T49" s="1"/>
  <c r="T51" s="1"/>
  <c r="S46"/>
  <c r="R46"/>
  <c r="R49" s="1"/>
  <c r="R51" s="1"/>
  <c r="Q46"/>
  <c r="Q49" s="1"/>
  <c r="Q51" s="1"/>
  <c r="P46"/>
  <c r="P49" s="1"/>
  <c r="P51" s="1"/>
  <c r="O46"/>
  <c r="N46"/>
  <c r="N49" s="1"/>
  <c r="N51" s="1"/>
  <c r="M46"/>
  <c r="M49" s="1"/>
  <c r="M51" s="1"/>
  <c r="L46"/>
  <c r="L49" s="1"/>
  <c r="L51" s="1"/>
  <c r="K46"/>
  <c r="J46"/>
  <c r="J49" s="1"/>
  <c r="J51" s="1"/>
  <c r="I46"/>
  <c r="I49" s="1"/>
  <c r="I51" s="1"/>
  <c r="H46"/>
  <c r="H49" s="1"/>
  <c r="H51" s="1"/>
  <c r="G46"/>
  <c r="F46"/>
  <c r="F49" s="1"/>
  <c r="F51" s="1"/>
  <c r="E46"/>
  <c r="E49" s="1"/>
  <c r="E51" s="1"/>
  <c r="D46"/>
  <c r="D49" s="1"/>
  <c r="D51" s="1"/>
  <c r="C46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W43"/>
  <c r="W42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W39"/>
  <c r="W38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W35"/>
  <c r="W34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W30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W27"/>
  <c r="W26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W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W18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3"/>
  <c r="W12"/>
  <c r="V48" i="52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V46"/>
  <c r="V92" s="1"/>
  <c r="U46"/>
  <c r="U92" s="1"/>
  <c r="T46"/>
  <c r="S46"/>
  <c r="S92" s="1"/>
  <c r="R46"/>
  <c r="R92" s="1"/>
  <c r="Q46"/>
  <c r="Q92" s="1"/>
  <c r="P46"/>
  <c r="O46"/>
  <c r="O92" s="1"/>
  <c r="N46"/>
  <c r="N92" s="1"/>
  <c r="M46"/>
  <c r="M92" s="1"/>
  <c r="L46"/>
  <c r="K46"/>
  <c r="K92" s="1"/>
  <c r="J46"/>
  <c r="J92" s="1"/>
  <c r="I46"/>
  <c r="I92" s="1"/>
  <c r="H46"/>
  <c r="G46"/>
  <c r="G92" s="1"/>
  <c r="F46"/>
  <c r="F92" s="1"/>
  <c r="E46"/>
  <c r="E92" s="1"/>
  <c r="D46"/>
  <c r="C46"/>
  <c r="C92" s="1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W43"/>
  <c r="W42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W39"/>
  <c r="W38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W35"/>
  <c r="W34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W30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W27"/>
  <c r="W26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W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W18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W14"/>
  <c r="W13"/>
  <c r="W12"/>
  <c r="I96" i="2"/>
  <c r="I94"/>
  <c r="I10"/>
  <c r="I9"/>
  <c r="I18"/>
  <c r="H102" i="38"/>
  <c r="I102" s="1"/>
  <c r="L102" s="1"/>
  <c r="H101"/>
  <c r="I101" s="1"/>
  <c r="L101" s="1"/>
  <c r="H100"/>
  <c r="I100" s="1"/>
  <c r="L100" s="1"/>
  <c r="H99"/>
  <c r="I99" s="1"/>
  <c r="L99" s="1"/>
  <c r="H98"/>
  <c r="I98" s="1"/>
  <c r="L98" s="1"/>
  <c r="H97"/>
  <c r="I97" s="1"/>
  <c r="L97" s="1"/>
  <c r="H96"/>
  <c r="I96" s="1"/>
  <c r="L96" s="1"/>
  <c r="H95"/>
  <c r="I95" s="1"/>
  <c r="L95" s="1"/>
  <c r="H94"/>
  <c r="I94" s="1"/>
  <c r="L94" s="1"/>
  <c r="H93"/>
  <c r="K93" s="1"/>
  <c r="H92"/>
  <c r="I92" s="1"/>
  <c r="H91"/>
  <c r="I91" s="1"/>
  <c r="L91" s="1"/>
  <c r="H89"/>
  <c r="I89" s="1"/>
  <c r="L89" s="1"/>
  <c r="H88"/>
  <c r="I88" s="1"/>
  <c r="L88" s="1"/>
  <c r="H87"/>
  <c r="K87" s="1"/>
  <c r="H86"/>
  <c r="I86" s="1"/>
  <c r="L86" s="1"/>
  <c r="H85"/>
  <c r="I85" s="1"/>
  <c r="L85" s="1"/>
  <c r="E94"/>
  <c r="G94" s="1"/>
  <c r="E101"/>
  <c r="G96" i="2"/>
  <c r="G94"/>
  <c r="P56"/>
  <c r="P40"/>
  <c r="P48"/>
  <c r="P29"/>
  <c r="P50"/>
  <c r="P47"/>
  <c r="P27"/>
  <c r="P45"/>
  <c r="P28"/>
  <c r="P38"/>
  <c r="P37"/>
  <c r="P36"/>
  <c r="P10"/>
  <c r="H83" i="38"/>
  <c r="K83" s="1"/>
  <c r="H82"/>
  <c r="K82" s="1"/>
  <c r="H81"/>
  <c r="I81" s="1"/>
  <c r="L81" s="1"/>
  <c r="H80"/>
  <c r="I80" s="1"/>
  <c r="L80" s="1"/>
  <c r="H78"/>
  <c r="K78" s="1"/>
  <c r="H77"/>
  <c r="I77" s="1"/>
  <c r="L77" s="1"/>
  <c r="H76"/>
  <c r="I76" s="1"/>
  <c r="L76" s="1"/>
  <c r="H75"/>
  <c r="K75" s="1"/>
  <c r="H74"/>
  <c r="K74" s="1"/>
  <c r="H73"/>
  <c r="I73" s="1"/>
  <c r="L73" s="1"/>
  <c r="H72"/>
  <c r="I72" s="1"/>
  <c r="L72" s="1"/>
  <c r="H71"/>
  <c r="I71" s="1"/>
  <c r="L71" s="1"/>
  <c r="H70"/>
  <c r="K70" s="1"/>
  <c r="H69"/>
  <c r="K69" s="1"/>
  <c r="H68"/>
  <c r="I68" s="1"/>
  <c r="L68" s="1"/>
  <c r="N162" i="31"/>
  <c r="K162"/>
  <c r="H162"/>
  <c r="E162"/>
  <c r="N53"/>
  <c r="K53"/>
  <c r="H53"/>
  <c r="H53" i="57" s="1"/>
  <c r="E53" i="31"/>
  <c r="E53" i="57" s="1"/>
  <c r="P44" i="2" l="1"/>
  <c r="P9"/>
  <c r="I15"/>
  <c r="P15"/>
  <c r="F16" i="57"/>
  <c r="K28" i="54"/>
  <c r="I12" i="56"/>
  <c r="H102" i="57"/>
  <c r="N102"/>
  <c r="O102" s="1"/>
  <c r="H193"/>
  <c r="N193"/>
  <c r="K209"/>
  <c r="K233" i="56"/>
  <c r="P233" s="1"/>
  <c r="N209" i="57"/>
  <c r="G97" i="2"/>
  <c r="I97"/>
  <c r="W32" i="52"/>
  <c r="W16" i="53"/>
  <c r="W32"/>
  <c r="W40"/>
  <c r="I26" i="54"/>
  <c r="I33" s="1"/>
  <c r="J88"/>
  <c r="K12" i="56"/>
  <c r="N29"/>
  <c r="K205"/>
  <c r="P205" s="1"/>
  <c r="K86" i="57"/>
  <c r="E94"/>
  <c r="K94"/>
  <c r="H140"/>
  <c r="E159"/>
  <c r="K159"/>
  <c r="K182"/>
  <c r="E193"/>
  <c r="O193" s="1"/>
  <c r="N217"/>
  <c r="H309" i="54"/>
  <c r="K18" i="56"/>
  <c r="J16" i="57"/>
  <c r="K43" i="56"/>
  <c r="N19"/>
  <c r="N27"/>
  <c r="C20" i="54"/>
  <c r="O162" i="31"/>
  <c r="I13" i="54"/>
  <c r="J302"/>
  <c r="J309" s="1"/>
  <c r="J322"/>
  <c r="H348"/>
  <c r="N16" i="56"/>
  <c r="N18"/>
  <c r="N20"/>
  <c r="I77"/>
  <c r="K185"/>
  <c r="P185" s="1"/>
  <c r="I260"/>
  <c r="O153" i="57"/>
  <c r="O154"/>
  <c r="O155"/>
  <c r="O156"/>
  <c r="O157"/>
  <c r="O158"/>
  <c r="O161"/>
  <c r="O162"/>
  <c r="O163"/>
  <c r="O164"/>
  <c r="O165"/>
  <c r="O166"/>
  <c r="O167"/>
  <c r="O168"/>
  <c r="O169"/>
  <c r="O170"/>
  <c r="O171"/>
  <c r="O173"/>
  <c r="M42" i="58"/>
  <c r="I212" i="56"/>
  <c r="N201" i="57"/>
  <c r="M74"/>
  <c r="K106" i="58"/>
  <c r="J24" i="56"/>
  <c r="N14"/>
  <c r="N31" s="1"/>
  <c r="W28" i="53"/>
  <c r="W44"/>
  <c r="H15" i="54"/>
  <c r="J26" i="56"/>
  <c r="I148"/>
  <c r="N220"/>
  <c r="J274"/>
  <c r="N94" i="57"/>
  <c r="O94" s="1"/>
  <c r="E102"/>
  <c r="K102"/>
  <c r="H174"/>
  <c r="N174"/>
  <c r="H182"/>
  <c r="E201"/>
  <c r="K201"/>
  <c r="D16"/>
  <c r="I24" i="56"/>
  <c r="K374" i="54"/>
  <c r="K19"/>
  <c r="K53" i="57"/>
  <c r="I53" i="34"/>
  <c r="I53" i="58" s="1"/>
  <c r="W16" i="52"/>
  <c r="W20"/>
  <c r="W28"/>
  <c r="W36"/>
  <c r="W44"/>
  <c r="W20" i="53"/>
  <c r="W36"/>
  <c r="K32" i="54"/>
  <c r="F46"/>
  <c r="K387"/>
  <c r="J16" i="55"/>
  <c r="N12" i="56"/>
  <c r="N17"/>
  <c r="N24"/>
  <c r="I95"/>
  <c r="I14" s="1"/>
  <c r="O112"/>
  <c r="N25"/>
  <c r="K107"/>
  <c r="P107" s="1"/>
  <c r="J14"/>
  <c r="J31" s="1"/>
  <c r="I133"/>
  <c r="N13"/>
  <c r="K179"/>
  <c r="P179" s="1"/>
  <c r="K187"/>
  <c r="P187" s="1"/>
  <c r="P25" s="1"/>
  <c r="I214"/>
  <c r="K240"/>
  <c r="P240" s="1"/>
  <c r="I241"/>
  <c r="O274"/>
  <c r="N53" i="57"/>
  <c r="L53" i="34"/>
  <c r="L53" i="58" s="1"/>
  <c r="W48" i="52"/>
  <c r="H100" s="1"/>
  <c r="W46" i="53"/>
  <c r="W47"/>
  <c r="H59" s="1"/>
  <c r="W48"/>
  <c r="H58" s="1"/>
  <c r="J153" i="54"/>
  <c r="K15"/>
  <c r="K348"/>
  <c r="K34" i="55"/>
  <c r="B35"/>
  <c r="F35"/>
  <c r="M35"/>
  <c r="C31" i="56"/>
  <c r="G31"/>
  <c r="J58"/>
  <c r="I67"/>
  <c r="J15"/>
  <c r="J20"/>
  <c r="I106"/>
  <c r="O24"/>
  <c r="N28"/>
  <c r="I220"/>
  <c r="W24" i="52"/>
  <c r="H26" i="54"/>
  <c r="H32"/>
  <c r="E46"/>
  <c r="K46"/>
  <c r="H62"/>
  <c r="J244"/>
  <c r="I15" i="56"/>
  <c r="O15"/>
  <c r="O85"/>
  <c r="K79"/>
  <c r="P79" s="1"/>
  <c r="N15"/>
  <c r="K124"/>
  <c r="P124" s="1"/>
  <c r="I125"/>
  <c r="I17" s="1"/>
  <c r="N26"/>
  <c r="I135"/>
  <c r="I158"/>
  <c r="I162"/>
  <c r="I181"/>
  <c r="I20"/>
  <c r="O20"/>
  <c r="N23"/>
  <c r="O247"/>
  <c r="I232"/>
  <c r="I239"/>
  <c r="H86" i="57"/>
  <c r="H110"/>
  <c r="O128"/>
  <c r="O129"/>
  <c r="O130"/>
  <c r="O131"/>
  <c r="O132"/>
  <c r="O133"/>
  <c r="O134"/>
  <c r="O135"/>
  <c r="O136"/>
  <c r="O137"/>
  <c r="O138"/>
  <c r="O139"/>
  <c r="H141"/>
  <c r="H159"/>
  <c r="E174"/>
  <c r="K174"/>
  <c r="N182"/>
  <c r="K193"/>
  <c r="O73"/>
  <c r="N110"/>
  <c r="O144"/>
  <c r="O145"/>
  <c r="O146"/>
  <c r="O147"/>
  <c r="O148"/>
  <c r="O149"/>
  <c r="O150"/>
  <c r="E151"/>
  <c r="K151"/>
  <c r="N159"/>
  <c r="O176"/>
  <c r="O177"/>
  <c r="O178"/>
  <c r="O179"/>
  <c r="O180"/>
  <c r="O181"/>
  <c r="E182"/>
  <c r="O182" s="1"/>
  <c r="H201"/>
  <c r="E209"/>
  <c r="O209" s="1"/>
  <c r="H217"/>
  <c r="E86"/>
  <c r="N86"/>
  <c r="O120"/>
  <c r="O121"/>
  <c r="O122"/>
  <c r="O123"/>
  <c r="O124"/>
  <c r="O125"/>
  <c r="E126"/>
  <c r="E218" s="1"/>
  <c r="I218"/>
  <c r="M218"/>
  <c r="G142"/>
  <c r="N142"/>
  <c r="H151"/>
  <c r="E217"/>
  <c r="I42"/>
  <c r="J66"/>
  <c r="E82" i="58"/>
  <c r="N82"/>
  <c r="N90"/>
  <c r="J71"/>
  <c r="L74" i="57"/>
  <c r="E90" i="58"/>
  <c r="N98"/>
  <c r="E106"/>
  <c r="H106"/>
  <c r="N106"/>
  <c r="H82"/>
  <c r="D42"/>
  <c r="D50"/>
  <c r="M50"/>
  <c r="D64"/>
  <c r="M64"/>
  <c r="M71"/>
  <c r="D71"/>
  <c r="K82"/>
  <c r="J42" i="57"/>
  <c r="M33"/>
  <c r="C50"/>
  <c r="L66"/>
  <c r="I66"/>
  <c r="C74"/>
  <c r="G66"/>
  <c r="D16" i="58"/>
  <c r="M42" i="57"/>
  <c r="L42"/>
  <c r="G42"/>
  <c r="C42"/>
  <c r="L33"/>
  <c r="I33"/>
  <c r="J33"/>
  <c r="F74"/>
  <c r="G16"/>
  <c r="L16"/>
  <c r="I50"/>
  <c r="L50"/>
  <c r="G74"/>
  <c r="J50" i="58"/>
  <c r="J64"/>
  <c r="F42" i="57"/>
  <c r="C66"/>
  <c r="M66"/>
  <c r="J42" i="58"/>
  <c r="I16" i="57"/>
  <c r="G33"/>
  <c r="D42"/>
  <c r="I74"/>
  <c r="K95" i="38"/>
  <c r="K94"/>
  <c r="M94" s="1"/>
  <c r="I93"/>
  <c r="L93" s="1"/>
  <c r="J33" i="58"/>
  <c r="M33"/>
  <c r="J74" i="57"/>
  <c r="M50"/>
  <c r="J50"/>
  <c r="F50"/>
  <c r="D50"/>
  <c r="M16"/>
  <c r="D33" i="58"/>
  <c r="G50" i="57"/>
  <c r="E98" i="58"/>
  <c r="H90"/>
  <c r="C16" i="57"/>
  <c r="D218"/>
  <c r="E142"/>
  <c r="O201"/>
  <c r="O110"/>
  <c r="G218"/>
  <c r="L218"/>
  <c r="O159"/>
  <c r="O217"/>
  <c r="F33"/>
  <c r="N126"/>
  <c r="E140"/>
  <c r="N141"/>
  <c r="O141" s="1"/>
  <c r="C33"/>
  <c r="F66"/>
  <c r="F142"/>
  <c r="H142" s="1"/>
  <c r="J142"/>
  <c r="J218" s="1"/>
  <c r="H126"/>
  <c r="C218"/>
  <c r="J92" i="38"/>
  <c r="L92"/>
  <c r="K92"/>
  <c r="D92" i="52"/>
  <c r="H92"/>
  <c r="L92"/>
  <c r="P92"/>
  <c r="T92"/>
  <c r="G49" i="53"/>
  <c r="G51" s="1"/>
  <c r="K49"/>
  <c r="K51" s="1"/>
  <c r="O49"/>
  <c r="O51" s="1"/>
  <c r="S49"/>
  <c r="S51" s="1"/>
  <c r="G20" i="54"/>
  <c r="H19"/>
  <c r="E33"/>
  <c r="H28"/>
  <c r="H33" s="1"/>
  <c r="H41"/>
  <c r="H45"/>
  <c r="K62"/>
  <c r="H101"/>
  <c r="K153"/>
  <c r="J361"/>
  <c r="I70" i="56"/>
  <c r="K70"/>
  <c r="P70" s="1"/>
  <c r="I81"/>
  <c r="K81"/>
  <c r="P81" s="1"/>
  <c r="P93"/>
  <c r="O139"/>
  <c r="O193"/>
  <c r="I29"/>
  <c r="I266"/>
  <c r="K266"/>
  <c r="P266" s="1"/>
  <c r="D20" i="54"/>
  <c r="I20"/>
  <c r="F33"/>
  <c r="G46"/>
  <c r="H75"/>
  <c r="H114"/>
  <c r="J127"/>
  <c r="J166"/>
  <c r="K335"/>
  <c r="I28" i="55"/>
  <c r="I50" i="56"/>
  <c r="K50"/>
  <c r="P51"/>
  <c r="K24"/>
  <c r="I108"/>
  <c r="K108"/>
  <c r="P108" s="1"/>
  <c r="K161"/>
  <c r="I161"/>
  <c r="K28"/>
  <c r="P217"/>
  <c r="E20" i="54"/>
  <c r="J15"/>
  <c r="H17"/>
  <c r="C33"/>
  <c r="G33"/>
  <c r="H30"/>
  <c r="J30" s="1"/>
  <c r="J32"/>
  <c r="H39"/>
  <c r="I46"/>
  <c r="H43"/>
  <c r="J43" s="1"/>
  <c r="K75"/>
  <c r="J140"/>
  <c r="J179"/>
  <c r="I53" i="56"/>
  <c r="I26" s="1"/>
  <c r="K53"/>
  <c r="I85"/>
  <c r="K22"/>
  <c r="P76"/>
  <c r="P22" s="1"/>
  <c r="I127"/>
  <c r="K127"/>
  <c r="P127" s="1"/>
  <c r="P128"/>
  <c r="K20"/>
  <c r="O166"/>
  <c r="O14"/>
  <c r="O31" s="1"/>
  <c r="P150"/>
  <c r="K15"/>
  <c r="I160"/>
  <c r="K160"/>
  <c r="P160" s="1"/>
  <c r="P191"/>
  <c r="K29"/>
  <c r="W40" i="52"/>
  <c r="W47"/>
  <c r="H101" s="1"/>
  <c r="W24" i="53"/>
  <c r="J19" i="54"/>
  <c r="J28"/>
  <c r="J41"/>
  <c r="J45"/>
  <c r="K140"/>
  <c r="K270"/>
  <c r="K250"/>
  <c r="K257" s="1"/>
  <c r="I40" i="56"/>
  <c r="I13" s="1"/>
  <c r="K40"/>
  <c r="P44"/>
  <c r="K21"/>
  <c r="P75"/>
  <c r="K179" i="54"/>
  <c r="H218"/>
  <c r="H296"/>
  <c r="H374"/>
  <c r="O16" i="55"/>
  <c r="N28"/>
  <c r="I34"/>
  <c r="I35" s="1"/>
  <c r="O34"/>
  <c r="D35"/>
  <c r="H35"/>
  <c r="E31" i="56"/>
  <c r="M31"/>
  <c r="N58"/>
  <c r="O58"/>
  <c r="P15"/>
  <c r="N85"/>
  <c r="J85"/>
  <c r="P18"/>
  <c r="P28"/>
  <c r="J112"/>
  <c r="J139"/>
  <c r="N139"/>
  <c r="I193"/>
  <c r="I189"/>
  <c r="J220"/>
  <c r="I274"/>
  <c r="N274"/>
  <c r="H192" i="54"/>
  <c r="J341"/>
  <c r="J348" s="1"/>
  <c r="I16" i="55"/>
  <c r="O28"/>
  <c r="J34"/>
  <c r="E35"/>
  <c r="L35"/>
  <c r="B31" i="56"/>
  <c r="F31"/>
  <c r="P20"/>
  <c r="P24"/>
  <c r="K139"/>
  <c r="N193"/>
  <c r="P11"/>
  <c r="N247"/>
  <c r="I243"/>
  <c r="K192" i="54"/>
  <c r="J205"/>
  <c r="H257"/>
  <c r="J283"/>
  <c r="K309"/>
  <c r="J335"/>
  <c r="J374"/>
  <c r="H400"/>
  <c r="N16" i="55"/>
  <c r="N35" s="1"/>
  <c r="J28"/>
  <c r="J35" s="1"/>
  <c r="N34"/>
  <c r="C35"/>
  <c r="G35"/>
  <c r="D31" i="56"/>
  <c r="H31"/>
  <c r="L31"/>
  <c r="P29"/>
  <c r="N112"/>
  <c r="P21"/>
  <c r="I139"/>
  <c r="I131"/>
  <c r="N166"/>
  <c r="J166"/>
  <c r="I151"/>
  <c r="I166" s="1"/>
  <c r="I154"/>
  <c r="J193"/>
  <c r="O220"/>
  <c r="J247"/>
  <c r="P148"/>
  <c r="K166"/>
  <c r="K13"/>
  <c r="P193"/>
  <c r="P214"/>
  <c r="P243"/>
  <c r="P27" s="1"/>
  <c r="P58"/>
  <c r="K26"/>
  <c r="P161"/>
  <c r="P26" s="1"/>
  <c r="P247"/>
  <c r="P274"/>
  <c r="P95"/>
  <c r="P112" s="1"/>
  <c r="K14"/>
  <c r="K23"/>
  <c r="P131"/>
  <c r="P23" s="1"/>
  <c r="P151"/>
  <c r="P154"/>
  <c r="P19" s="1"/>
  <c r="K19"/>
  <c r="P67"/>
  <c r="K247"/>
  <c r="K274"/>
  <c r="P201"/>
  <c r="O35" i="55"/>
  <c r="K16"/>
  <c r="P10"/>
  <c r="P16" s="1"/>
  <c r="K28"/>
  <c r="P17"/>
  <c r="P28" s="1"/>
  <c r="P29"/>
  <c r="P34" s="1"/>
  <c r="K293" i="54"/>
  <c r="K17" s="1"/>
  <c r="K30"/>
  <c r="K94"/>
  <c r="K114"/>
  <c r="J17"/>
  <c r="J39"/>
  <c r="J231"/>
  <c r="J270"/>
  <c r="J387"/>
  <c r="H13"/>
  <c r="D46"/>
  <c r="K9" i="47" s="1"/>
  <c r="H153" i="54"/>
  <c r="H179"/>
  <c r="H231"/>
  <c r="J250"/>
  <c r="J257" s="1"/>
  <c r="H270"/>
  <c r="J289"/>
  <c r="J296" s="1"/>
  <c r="H361"/>
  <c r="H387"/>
  <c r="J26"/>
  <c r="C46"/>
  <c r="J68"/>
  <c r="J75" s="1"/>
  <c r="J107"/>
  <c r="J114" s="1"/>
  <c r="H140"/>
  <c r="J185"/>
  <c r="J192" s="1"/>
  <c r="J211"/>
  <c r="J218" s="1"/>
  <c r="D33"/>
  <c r="D22" i="39" s="1"/>
  <c r="J55" i="54"/>
  <c r="J62" s="1"/>
  <c r="J94"/>
  <c r="J101" s="1"/>
  <c r="K224"/>
  <c r="K26" s="1"/>
  <c r="K33" s="1"/>
  <c r="H335"/>
  <c r="J393"/>
  <c r="J400" s="1"/>
  <c r="Y12" i="53"/>
  <c r="C49"/>
  <c r="C51" s="1"/>
  <c r="W46" i="52"/>
  <c r="J102" i="38"/>
  <c r="K102"/>
  <c r="M102" s="1"/>
  <c r="K101"/>
  <c r="M101" s="1"/>
  <c r="K100"/>
  <c r="K99"/>
  <c r="K98"/>
  <c r="K97"/>
  <c r="K96"/>
  <c r="J94"/>
  <c r="K71"/>
  <c r="I87"/>
  <c r="L87" s="1"/>
  <c r="K89"/>
  <c r="I83"/>
  <c r="L83" s="1"/>
  <c r="K86"/>
  <c r="G101"/>
  <c r="K88"/>
  <c r="I82"/>
  <c r="L82" s="1"/>
  <c r="K81"/>
  <c r="I78"/>
  <c r="L78" s="1"/>
  <c r="K77"/>
  <c r="K76"/>
  <c r="I75"/>
  <c r="L75" s="1"/>
  <c r="I74"/>
  <c r="L74" s="1"/>
  <c r="K73"/>
  <c r="K72"/>
  <c r="I70"/>
  <c r="L70" s="1"/>
  <c r="I69"/>
  <c r="L69" s="1"/>
  <c r="O53" i="31"/>
  <c r="F8" i="2" l="1"/>
  <c r="N74" i="57"/>
  <c r="H16"/>
  <c r="O53"/>
  <c r="K193" i="56"/>
  <c r="K16"/>
  <c r="K220"/>
  <c r="K27"/>
  <c r="K85"/>
  <c r="K17"/>
  <c r="O140" i="57"/>
  <c r="P220" i="56"/>
  <c r="P16"/>
  <c r="K25"/>
  <c r="I112"/>
  <c r="I247"/>
  <c r="P17"/>
  <c r="H66" i="57"/>
  <c r="K16"/>
  <c r="O174"/>
  <c r="I58" i="56"/>
  <c r="J33" i="54"/>
  <c r="K58" i="56"/>
  <c r="I25"/>
  <c r="H218" i="57"/>
  <c r="E16"/>
  <c r="O106" i="58"/>
  <c r="N16" i="57"/>
  <c r="O82" i="58"/>
  <c r="O86" i="57"/>
  <c r="K218"/>
  <c r="K35" i="55"/>
  <c r="H46" i="54"/>
  <c r="O126" i="57"/>
  <c r="W92" i="52"/>
  <c r="G94" s="1"/>
  <c r="H98"/>
  <c r="D23" i="39"/>
  <c r="K42" i="57"/>
  <c r="W49" i="53"/>
  <c r="W51" s="1"/>
  <c r="H56"/>
  <c r="P35" i="55"/>
  <c r="O151" i="57"/>
  <c r="K66"/>
  <c r="O98" i="58"/>
  <c r="O90"/>
  <c r="N33" i="57"/>
  <c r="K50"/>
  <c r="H42"/>
  <c r="K33"/>
  <c r="D107" i="58"/>
  <c r="D215" s="1"/>
  <c r="N66" i="57"/>
  <c r="H74"/>
  <c r="N42"/>
  <c r="E50"/>
  <c r="E42"/>
  <c r="L111"/>
  <c r="L219" s="1"/>
  <c r="I111"/>
  <c r="I219" s="1"/>
  <c r="H33"/>
  <c r="G111"/>
  <c r="G219" s="1"/>
  <c r="K74"/>
  <c r="M111"/>
  <c r="M219" s="1"/>
  <c r="J111"/>
  <c r="J219" s="1"/>
  <c r="N50"/>
  <c r="H50"/>
  <c r="K142"/>
  <c r="N218"/>
  <c r="F111"/>
  <c r="F218"/>
  <c r="O142"/>
  <c r="O218"/>
  <c r="C111"/>
  <c r="C219" s="1"/>
  <c r="I19" i="56"/>
  <c r="I23"/>
  <c r="K112"/>
  <c r="I16"/>
  <c r="K31"/>
  <c r="P166"/>
  <c r="I27"/>
  <c r="P12"/>
  <c r="P139"/>
  <c r="P14"/>
  <c r="P85"/>
  <c r="P13"/>
  <c r="J13" i="54"/>
  <c r="J20" s="1"/>
  <c r="H20"/>
  <c r="K101"/>
  <c r="K231"/>
  <c r="K211"/>
  <c r="K218" s="1"/>
  <c r="K296"/>
  <c r="J46"/>
  <c r="W96" i="52"/>
  <c r="W98"/>
  <c r="J101" i="38"/>
  <c r="J113"/>
  <c r="J114"/>
  <c r="J115"/>
  <c r="J116"/>
  <c r="J117"/>
  <c r="J118"/>
  <c r="J119"/>
  <c r="J120"/>
  <c r="J121"/>
  <c r="G113"/>
  <c r="G114"/>
  <c r="G115"/>
  <c r="G116"/>
  <c r="G117"/>
  <c r="G118"/>
  <c r="G119"/>
  <c r="G120"/>
  <c r="G121"/>
  <c r="M113"/>
  <c r="M114"/>
  <c r="M115"/>
  <c r="M116"/>
  <c r="M117"/>
  <c r="M118"/>
  <c r="M119"/>
  <c r="M120"/>
  <c r="M121"/>
  <c r="H66"/>
  <c r="K66" s="1"/>
  <c r="H65"/>
  <c r="I65" s="1"/>
  <c r="L65" s="1"/>
  <c r="G66"/>
  <c r="H62"/>
  <c r="I62" s="1"/>
  <c r="H63"/>
  <c r="I63" s="1"/>
  <c r="L63" s="1"/>
  <c r="H61"/>
  <c r="K61" s="1"/>
  <c r="H60"/>
  <c r="I60" s="1"/>
  <c r="L60" s="1"/>
  <c r="G62"/>
  <c r="E61"/>
  <c r="H57"/>
  <c r="I57" s="1"/>
  <c r="L57" s="1"/>
  <c r="H56"/>
  <c r="I56" s="1"/>
  <c r="L56" s="1"/>
  <c r="H55"/>
  <c r="K55" s="1"/>
  <c r="H54"/>
  <c r="K54" s="1"/>
  <c r="H53"/>
  <c r="K53" s="1"/>
  <c r="H52"/>
  <c r="K52" s="1"/>
  <c r="H51"/>
  <c r="K51" s="1"/>
  <c r="H50"/>
  <c r="K50" s="1"/>
  <c r="H49"/>
  <c r="K49" s="1"/>
  <c r="H48"/>
  <c r="K48" s="1"/>
  <c r="H47"/>
  <c r="K47" s="1"/>
  <c r="H46"/>
  <c r="I46" s="1"/>
  <c r="L46" s="1"/>
  <c r="H45"/>
  <c r="I45" s="1"/>
  <c r="L45" s="1"/>
  <c r="H43"/>
  <c r="K43" s="1"/>
  <c r="H42"/>
  <c r="K42" s="1"/>
  <c r="H41"/>
  <c r="K41" s="1"/>
  <c r="H40"/>
  <c r="I40" s="1"/>
  <c r="L40" s="1"/>
  <c r="H39"/>
  <c r="I39" s="1"/>
  <c r="L39" s="1"/>
  <c r="H37"/>
  <c r="I37" s="1"/>
  <c r="L37" s="1"/>
  <c r="H36"/>
  <c r="I36" s="1"/>
  <c r="L36" s="1"/>
  <c r="H35"/>
  <c r="I35" s="1"/>
  <c r="L35" s="1"/>
  <c r="H34"/>
  <c r="I34" s="1"/>
  <c r="L34" s="1"/>
  <c r="H33"/>
  <c r="I33" s="1"/>
  <c r="L33" s="1"/>
  <c r="H32"/>
  <c r="K32" s="1"/>
  <c r="H31"/>
  <c r="I31" s="1"/>
  <c r="L31" s="1"/>
  <c r="H29"/>
  <c r="I29" s="1"/>
  <c r="L29" s="1"/>
  <c r="H28"/>
  <c r="I28" s="1"/>
  <c r="L28" s="1"/>
  <c r="H27"/>
  <c r="I27" s="1"/>
  <c r="L27" s="1"/>
  <c r="H26"/>
  <c r="K26" s="1"/>
  <c r="H25"/>
  <c r="K25" s="1"/>
  <c r="H24"/>
  <c r="I24" s="1"/>
  <c r="L24" s="1"/>
  <c r="H23"/>
  <c r="I23" s="1"/>
  <c r="L23" s="1"/>
  <c r="H20"/>
  <c r="I20" s="1"/>
  <c r="L20" s="1"/>
  <c r="H21"/>
  <c r="I21" s="1"/>
  <c r="L21" s="1"/>
  <c r="H19"/>
  <c r="K19" s="1"/>
  <c r="H18"/>
  <c r="I18" s="1"/>
  <c r="L18" s="1"/>
  <c r="H17"/>
  <c r="I17" s="1"/>
  <c r="L17" s="1"/>
  <c r="H15"/>
  <c r="K15" s="1"/>
  <c r="H14"/>
  <c r="K14" s="1"/>
  <c r="H13"/>
  <c r="I13" s="1"/>
  <c r="L13" s="1"/>
  <c r="H12"/>
  <c r="K12" s="1"/>
  <c r="H11"/>
  <c r="I11" s="1"/>
  <c r="L11" s="1"/>
  <c r="O16" i="57" l="1"/>
  <c r="I31" i="56"/>
  <c r="H60" i="53"/>
  <c r="H102" i="52"/>
  <c r="K111" i="57"/>
  <c r="K219" s="1"/>
  <c r="G15" i="47" s="1"/>
  <c r="H15" s="1"/>
  <c r="N111" i="57"/>
  <c r="N219" s="1"/>
  <c r="G16" i="47" s="1"/>
  <c r="H16" s="1"/>
  <c r="O42" i="57"/>
  <c r="K29" i="38"/>
  <c r="O50" i="57"/>
  <c r="H111"/>
  <c r="H219" s="1"/>
  <c r="F219"/>
  <c r="I19" i="38"/>
  <c r="L19" s="1"/>
  <c r="I25"/>
  <c r="L25" s="1"/>
  <c r="K62"/>
  <c r="P31" i="56"/>
  <c r="K13" i="54"/>
  <c r="K20" s="1"/>
  <c r="K34" i="38"/>
  <c r="I12"/>
  <c r="L12" s="1"/>
  <c r="K20"/>
  <c r="I55"/>
  <c r="L55" s="1"/>
  <c r="K18"/>
  <c r="K36"/>
  <c r="J62"/>
  <c r="I66"/>
  <c r="I42"/>
  <c r="L42" s="1"/>
  <c r="K13"/>
  <c r="K21"/>
  <c r="K40"/>
  <c r="I41"/>
  <c r="L41" s="1"/>
  <c r="I43"/>
  <c r="L43" s="1"/>
  <c r="I47"/>
  <c r="L47" s="1"/>
  <c r="I61"/>
  <c r="L61" s="1"/>
  <c r="M61" s="1"/>
  <c r="K46"/>
  <c r="I15"/>
  <c r="L15" s="1"/>
  <c r="I32"/>
  <c r="L32" s="1"/>
  <c r="K63"/>
  <c r="L62"/>
  <c r="G61"/>
  <c r="K57"/>
  <c r="K56"/>
  <c r="I54"/>
  <c r="L54" s="1"/>
  <c r="I53"/>
  <c r="L53" s="1"/>
  <c r="I52"/>
  <c r="L52" s="1"/>
  <c r="I51"/>
  <c r="L51" s="1"/>
  <c r="I50"/>
  <c r="L50" s="1"/>
  <c r="I49"/>
  <c r="L49" s="1"/>
  <c r="I48"/>
  <c r="L48" s="1"/>
  <c r="K37"/>
  <c r="K35"/>
  <c r="K33"/>
  <c r="K28"/>
  <c r="K27"/>
  <c r="I26"/>
  <c r="L26" s="1"/>
  <c r="K24"/>
  <c r="I14"/>
  <c r="L14" s="1"/>
  <c r="M62" l="1"/>
  <c r="J61"/>
  <c r="J66"/>
  <c r="L66"/>
  <c r="M66" s="1"/>
  <c r="A173" i="34" l="1"/>
  <c r="B173"/>
  <c r="K173"/>
  <c r="K173" i="58" s="1"/>
  <c r="N173" i="34"/>
  <c r="N173" i="58" s="1"/>
  <c r="A174" i="34"/>
  <c r="B174"/>
  <c r="E174"/>
  <c r="E174" i="58" s="1"/>
  <c r="K174" i="34"/>
  <c r="K174" i="58" s="1"/>
  <c r="N174" i="34"/>
  <c r="N174" i="58" s="1"/>
  <c r="A175" i="34"/>
  <c r="B175"/>
  <c r="E175"/>
  <c r="H175"/>
  <c r="H175" i="58" s="1"/>
  <c r="K175" i="34"/>
  <c r="K175" i="58" s="1"/>
  <c r="N175" i="34"/>
  <c r="N175" i="58" s="1"/>
  <c r="A176" i="34"/>
  <c r="B176"/>
  <c r="E176"/>
  <c r="H176"/>
  <c r="H176" i="58" s="1"/>
  <c r="K176" i="34"/>
  <c r="K176" i="58" s="1"/>
  <c r="N176" i="34"/>
  <c r="N176" i="58" s="1"/>
  <c r="A177" i="34"/>
  <c r="B177"/>
  <c r="E177"/>
  <c r="H177"/>
  <c r="H177" i="58" s="1"/>
  <c r="K177" i="34"/>
  <c r="K177" i="58" s="1"/>
  <c r="N177" i="34"/>
  <c r="N177" i="58" s="1"/>
  <c r="N172" i="34"/>
  <c r="K172"/>
  <c r="H172"/>
  <c r="H172" i="58" s="1"/>
  <c r="B172" i="34"/>
  <c r="A172"/>
  <c r="H159"/>
  <c r="H159" i="58" s="1"/>
  <c r="K159" i="34"/>
  <c r="K159" i="58" s="1"/>
  <c r="N159" i="34"/>
  <c r="N159" i="58" s="1"/>
  <c r="E160" i="34"/>
  <c r="H160"/>
  <c r="H160" i="58" s="1"/>
  <c r="K160" i="34"/>
  <c r="K160" i="58" s="1"/>
  <c r="N160" i="34"/>
  <c r="N160" i="58" s="1"/>
  <c r="H161" i="34"/>
  <c r="H161" i="58" s="1"/>
  <c r="K161" i="34"/>
  <c r="K161" i="58" s="1"/>
  <c r="N161" i="34"/>
  <c r="N161" i="58" s="1"/>
  <c r="E162" i="34"/>
  <c r="H162"/>
  <c r="H162" i="58" s="1"/>
  <c r="K162" i="34"/>
  <c r="K162" i="58" s="1"/>
  <c r="N162" i="34"/>
  <c r="N162" i="58" s="1"/>
  <c r="H163" i="34"/>
  <c r="H163" i="58" s="1"/>
  <c r="K163" i="34"/>
  <c r="K163" i="58" s="1"/>
  <c r="N163" i="34"/>
  <c r="N163" i="58" s="1"/>
  <c r="E164" i="34"/>
  <c r="H164"/>
  <c r="H164" i="58" s="1"/>
  <c r="K164" i="34"/>
  <c r="K164" i="58" s="1"/>
  <c r="N164" i="34"/>
  <c r="N164" i="58" s="1"/>
  <c r="E165" i="34"/>
  <c r="H165"/>
  <c r="H165" i="58" s="1"/>
  <c r="K165" i="34"/>
  <c r="K165" i="58" s="1"/>
  <c r="N165" i="34"/>
  <c r="N165" i="58" s="1"/>
  <c r="K166" i="34"/>
  <c r="K166" i="58" s="1"/>
  <c r="N166" i="34"/>
  <c r="N166" i="58" s="1"/>
  <c r="H167" i="34"/>
  <c r="H167" i="58" s="1"/>
  <c r="K167" i="34"/>
  <c r="K167" i="58" s="1"/>
  <c r="N167" i="34"/>
  <c r="N167" i="58" s="1"/>
  <c r="H168" i="34"/>
  <c r="H168" i="58" s="1"/>
  <c r="K168" i="34"/>
  <c r="K168" i="58" s="1"/>
  <c r="N168" i="34"/>
  <c r="N168" i="58" s="1"/>
  <c r="K169" i="34"/>
  <c r="K169" i="58" s="1"/>
  <c r="N169" i="34"/>
  <c r="N169" i="58" s="1"/>
  <c r="A149" i="34"/>
  <c r="K142"/>
  <c r="K142" i="58" s="1"/>
  <c r="N142" i="34"/>
  <c r="N142" i="58" s="1"/>
  <c r="E143" i="34"/>
  <c r="H143"/>
  <c r="H143" i="58" s="1"/>
  <c r="K143" i="34"/>
  <c r="K143" i="58" s="1"/>
  <c r="N143" i="34"/>
  <c r="N143" i="58" s="1"/>
  <c r="E144" i="34"/>
  <c r="H144"/>
  <c r="H144" i="58" s="1"/>
  <c r="K144" i="34"/>
  <c r="K144" i="58" s="1"/>
  <c r="N144" i="34"/>
  <c r="N144" i="58" s="1"/>
  <c r="E145" i="34"/>
  <c r="H145"/>
  <c r="H145" i="58" s="1"/>
  <c r="K145" i="34"/>
  <c r="K145" i="58" s="1"/>
  <c r="N145" i="34"/>
  <c r="N145" i="58" s="1"/>
  <c r="E146" i="34"/>
  <c r="H146"/>
  <c r="H146" i="58" s="1"/>
  <c r="K146" i="34"/>
  <c r="K146" i="58" s="1"/>
  <c r="N146" i="34"/>
  <c r="N146" i="58" s="1"/>
  <c r="E147" i="34"/>
  <c r="H147"/>
  <c r="H147" i="58" s="1"/>
  <c r="K147" i="34"/>
  <c r="K147" i="58" s="1"/>
  <c r="N147" i="34"/>
  <c r="N147" i="58" s="1"/>
  <c r="A140" i="34"/>
  <c r="H128"/>
  <c r="H128" i="58" s="1"/>
  <c r="K128" i="34"/>
  <c r="K128" i="58" s="1"/>
  <c r="N128" i="34"/>
  <c r="N128" i="58" s="1"/>
  <c r="E129" i="34"/>
  <c r="H129"/>
  <c r="H129" i="58" s="1"/>
  <c r="K129" i="34"/>
  <c r="K129" i="58" s="1"/>
  <c r="N129" i="34"/>
  <c r="N129" i="58" s="1"/>
  <c r="K130" i="34"/>
  <c r="K130" i="58" s="1"/>
  <c r="N130" i="34"/>
  <c r="N130" i="58" s="1"/>
  <c r="H131" i="34"/>
  <c r="H131" i="58" s="1"/>
  <c r="K131" i="34"/>
  <c r="K131" i="58" s="1"/>
  <c r="N131" i="34"/>
  <c r="N131" i="58" s="1"/>
  <c r="E132" i="34"/>
  <c r="H132"/>
  <c r="H132" i="58" s="1"/>
  <c r="K132" i="34"/>
  <c r="K132" i="58" s="1"/>
  <c r="N132" i="34"/>
  <c r="N132" i="58" s="1"/>
  <c r="E133" i="34"/>
  <c r="H133"/>
  <c r="H133" i="58" s="1"/>
  <c r="K133" i="34"/>
  <c r="K133" i="58" s="1"/>
  <c r="N133" i="34"/>
  <c r="N133" i="58" s="1"/>
  <c r="E134" i="34"/>
  <c r="H134"/>
  <c r="H134" i="58" s="1"/>
  <c r="K134" i="34"/>
  <c r="K134" i="58" s="1"/>
  <c r="N134" i="34"/>
  <c r="N134" i="58" s="1"/>
  <c r="E135" i="34"/>
  <c r="H135"/>
  <c r="H135" i="58" s="1"/>
  <c r="K135" i="34"/>
  <c r="K135" i="58" s="1"/>
  <c r="N135" i="34"/>
  <c r="N135" i="58" s="1"/>
  <c r="K136" i="34"/>
  <c r="K136" i="58" s="1"/>
  <c r="N136" i="34"/>
  <c r="N136" i="58" s="1"/>
  <c r="K137" i="34"/>
  <c r="K137" i="58" s="1"/>
  <c r="N137" i="34"/>
  <c r="N137" i="58" s="1"/>
  <c r="E138" i="34"/>
  <c r="H138"/>
  <c r="H138" i="58" s="1"/>
  <c r="K138" i="34"/>
  <c r="K138" i="58" s="1"/>
  <c r="N138" i="34"/>
  <c r="N138" i="58" s="1"/>
  <c r="E11" i="38"/>
  <c r="G11" s="1"/>
  <c r="D127"/>
  <c r="G127" s="1"/>
  <c r="D126"/>
  <c r="G126" s="1"/>
  <c r="D125"/>
  <c r="D124"/>
  <c r="D123"/>
  <c r="G123" s="1"/>
  <c r="E112"/>
  <c r="J112" s="1"/>
  <c r="E111"/>
  <c r="G111" s="1"/>
  <c r="E110"/>
  <c r="J110" s="1"/>
  <c r="E109"/>
  <c r="G109" s="1"/>
  <c r="E108"/>
  <c r="J108" s="1"/>
  <c r="G107"/>
  <c r="J107" s="1"/>
  <c r="G105"/>
  <c r="H105"/>
  <c r="E100"/>
  <c r="E99"/>
  <c r="E98"/>
  <c r="E97"/>
  <c r="E96"/>
  <c r="E95"/>
  <c r="J93"/>
  <c r="M93"/>
  <c r="E93"/>
  <c r="G93" s="1"/>
  <c r="E91"/>
  <c r="G91" s="1"/>
  <c r="M90"/>
  <c r="J90"/>
  <c r="G90"/>
  <c r="J89"/>
  <c r="E89"/>
  <c r="G89" s="1"/>
  <c r="E88"/>
  <c r="G88" s="1"/>
  <c r="J87"/>
  <c r="E87"/>
  <c r="G87" s="1"/>
  <c r="E86"/>
  <c r="G86" s="1"/>
  <c r="J85"/>
  <c r="E85"/>
  <c r="G85" s="1"/>
  <c r="E83"/>
  <c r="G83" s="1"/>
  <c r="J82"/>
  <c r="E82"/>
  <c r="G82" s="1"/>
  <c r="E81"/>
  <c r="G81" s="1"/>
  <c r="J80"/>
  <c r="E80"/>
  <c r="G80" s="1"/>
  <c r="E78"/>
  <c r="G78" s="1"/>
  <c r="J77"/>
  <c r="E77"/>
  <c r="G77" s="1"/>
  <c r="E76"/>
  <c r="G76" s="1"/>
  <c r="J75"/>
  <c r="E75"/>
  <c r="G75" s="1"/>
  <c r="E74"/>
  <c r="G74" s="1"/>
  <c r="J73"/>
  <c r="E73"/>
  <c r="G73" s="1"/>
  <c r="E72"/>
  <c r="G72" s="1"/>
  <c r="J71"/>
  <c r="E71"/>
  <c r="G71" s="1"/>
  <c r="E70"/>
  <c r="G70" s="1"/>
  <c r="J69"/>
  <c r="E69"/>
  <c r="E68"/>
  <c r="G68" s="1"/>
  <c r="J65"/>
  <c r="E65"/>
  <c r="G65" s="1"/>
  <c r="E63"/>
  <c r="G63" s="1"/>
  <c r="J60"/>
  <c r="E60"/>
  <c r="G60" s="1"/>
  <c r="E57"/>
  <c r="M56"/>
  <c r="E56"/>
  <c r="G56" s="1"/>
  <c r="E55"/>
  <c r="M54"/>
  <c r="E54"/>
  <c r="G54" s="1"/>
  <c r="E53"/>
  <c r="M52"/>
  <c r="E52"/>
  <c r="G52" s="1"/>
  <c r="E51"/>
  <c r="M50"/>
  <c r="E50"/>
  <c r="G50" s="1"/>
  <c r="E49"/>
  <c r="M48"/>
  <c r="E48"/>
  <c r="G48" s="1"/>
  <c r="E47"/>
  <c r="M46"/>
  <c r="E46"/>
  <c r="G46" s="1"/>
  <c r="E45"/>
  <c r="M43"/>
  <c r="E43"/>
  <c r="G43" s="1"/>
  <c r="E42"/>
  <c r="M41"/>
  <c r="E41"/>
  <c r="G41" s="1"/>
  <c r="E40"/>
  <c r="K39"/>
  <c r="M39" s="1"/>
  <c r="E39"/>
  <c r="G39" s="1"/>
  <c r="E37"/>
  <c r="M36"/>
  <c r="E36"/>
  <c r="G36" s="1"/>
  <c r="E35"/>
  <c r="M34"/>
  <c r="E34"/>
  <c r="G34" s="1"/>
  <c r="E33"/>
  <c r="M32"/>
  <c r="E32"/>
  <c r="G32" s="1"/>
  <c r="E31"/>
  <c r="M29"/>
  <c r="E29"/>
  <c r="G29" s="1"/>
  <c r="E28"/>
  <c r="M27"/>
  <c r="E27"/>
  <c r="G27" s="1"/>
  <c r="E26"/>
  <c r="M25"/>
  <c r="E25"/>
  <c r="G25" s="1"/>
  <c r="E24"/>
  <c r="K23"/>
  <c r="M23" s="1"/>
  <c r="E23"/>
  <c r="G23" s="1"/>
  <c r="E21"/>
  <c r="M20"/>
  <c r="E20"/>
  <c r="G20" s="1"/>
  <c r="E19"/>
  <c r="M18"/>
  <c r="E18"/>
  <c r="G18" s="1"/>
  <c r="E17"/>
  <c r="M16"/>
  <c r="J15"/>
  <c r="E15"/>
  <c r="G15" s="1"/>
  <c r="E14"/>
  <c r="G14" s="1"/>
  <c r="J13"/>
  <c r="E13"/>
  <c r="G13" s="1"/>
  <c r="E12"/>
  <c r="G12" s="1"/>
  <c r="J11"/>
  <c r="E69" i="34"/>
  <c r="E69" i="58" s="1"/>
  <c r="E68" i="34"/>
  <c r="E68" i="58" s="1"/>
  <c r="B53" i="34"/>
  <c r="B159" s="1"/>
  <c r="H53"/>
  <c r="H53" i="58" s="1"/>
  <c r="K53" i="34"/>
  <c r="K53" i="58" s="1"/>
  <c r="N53" i="34"/>
  <c r="B54"/>
  <c r="B160" s="1"/>
  <c r="B55"/>
  <c r="B161" s="1"/>
  <c r="H55"/>
  <c r="H55" i="58" s="1"/>
  <c r="B56" i="34"/>
  <c r="B162" s="1"/>
  <c r="B57"/>
  <c r="B163" s="1"/>
  <c r="H57"/>
  <c r="H57" i="58" s="1"/>
  <c r="B58" i="34"/>
  <c r="B164" s="1"/>
  <c r="B59"/>
  <c r="B165" s="1"/>
  <c r="H59"/>
  <c r="H59" i="58" s="1"/>
  <c r="K59" i="34"/>
  <c r="K59" i="58" s="1"/>
  <c r="N59" i="34"/>
  <c r="B60"/>
  <c r="B166" s="1"/>
  <c r="H60"/>
  <c r="H60" i="58" s="1"/>
  <c r="B61" i="34"/>
  <c r="B167" s="1"/>
  <c r="H61"/>
  <c r="H61" i="58" s="1"/>
  <c r="B62" i="34"/>
  <c r="B168" s="1"/>
  <c r="H62"/>
  <c r="H62" i="58" s="1"/>
  <c r="B63" i="34"/>
  <c r="B169" s="1"/>
  <c r="B52"/>
  <c r="B158" s="1"/>
  <c r="B49"/>
  <c r="B155" s="1"/>
  <c r="B48"/>
  <c r="B154" s="1"/>
  <c r="B47"/>
  <c r="B153" s="1"/>
  <c r="B46"/>
  <c r="B152" s="1"/>
  <c r="B45"/>
  <c r="B151" s="1"/>
  <c r="B44"/>
  <c r="B150" s="1"/>
  <c r="B40"/>
  <c r="B146" s="1"/>
  <c r="E40"/>
  <c r="E40" i="58" s="1"/>
  <c r="H40" i="34"/>
  <c r="H40" i="58" s="1"/>
  <c r="B41" i="34"/>
  <c r="B147" s="1"/>
  <c r="E41"/>
  <c r="E41" i="58" s="1"/>
  <c r="B39" i="34"/>
  <c r="B145" s="1"/>
  <c r="B38"/>
  <c r="B144" s="1"/>
  <c r="B37"/>
  <c r="B143" s="1"/>
  <c r="B36"/>
  <c r="B142" s="1"/>
  <c r="B35"/>
  <c r="B141" s="1"/>
  <c r="B32"/>
  <c r="B138" s="1"/>
  <c r="B31"/>
  <c r="B137" s="1"/>
  <c r="B30"/>
  <c r="B136" s="1"/>
  <c r="B29"/>
  <c r="B135" s="1"/>
  <c r="B28"/>
  <c r="B134" s="1"/>
  <c r="B27"/>
  <c r="B133" s="1"/>
  <c r="B26"/>
  <c r="B132" s="1"/>
  <c r="B25"/>
  <c r="B131" s="1"/>
  <c r="B24"/>
  <c r="B130" s="1"/>
  <c r="B23"/>
  <c r="B129" s="1"/>
  <c r="B22"/>
  <c r="B128" s="1"/>
  <c r="B21"/>
  <c r="B127" s="1"/>
  <c r="B20"/>
  <c r="B126" s="1"/>
  <c r="B19"/>
  <c r="B125" s="1"/>
  <c r="B18"/>
  <c r="B124" s="1"/>
  <c r="E32"/>
  <c r="E32" i="58" s="1"/>
  <c r="K32" i="34"/>
  <c r="K32" i="58" s="1"/>
  <c r="E26" i="34"/>
  <c r="E26" i="58" s="1"/>
  <c r="E27" i="34"/>
  <c r="E27" i="58" s="1"/>
  <c r="H28" i="34"/>
  <c r="H28" i="58" s="1"/>
  <c r="K28" i="34"/>
  <c r="K28" i="58" s="1"/>
  <c r="E29" i="34"/>
  <c r="E29" i="58" s="1"/>
  <c r="K29" i="34"/>
  <c r="K29" i="58" s="1"/>
  <c r="B15" i="34"/>
  <c r="B121" s="1"/>
  <c r="B14"/>
  <c r="B120" s="1"/>
  <c r="B13"/>
  <c r="B119" s="1"/>
  <c r="B12"/>
  <c r="B118" s="1"/>
  <c r="B11"/>
  <c r="B117" s="1"/>
  <c r="B10"/>
  <c r="B116" s="1"/>
  <c r="B53" i="39"/>
  <c r="O129" i="34" l="1"/>
  <c r="O129" i="58" s="1"/>
  <c r="E129"/>
  <c r="O138" i="34"/>
  <c r="O138" i="58" s="1"/>
  <c r="E138"/>
  <c r="O147" i="34"/>
  <c r="O147" i="58" s="1"/>
  <c r="E147"/>
  <c r="O146" i="34"/>
  <c r="O146" i="58" s="1"/>
  <c r="E146"/>
  <c r="O145" i="34"/>
  <c r="O145" i="58" s="1"/>
  <c r="E145"/>
  <c r="O144" i="34"/>
  <c r="O144" i="58" s="1"/>
  <c r="E144"/>
  <c r="O143" i="34"/>
  <c r="O143" i="58" s="1"/>
  <c r="E143"/>
  <c r="O165" i="34"/>
  <c r="O165" i="58" s="1"/>
  <c r="E165"/>
  <c r="O164" i="34"/>
  <c r="O164" i="58" s="1"/>
  <c r="E164"/>
  <c r="O162" i="34"/>
  <c r="O162" i="58" s="1"/>
  <c r="E162"/>
  <c r="O160" i="34"/>
  <c r="O160" i="58" s="1"/>
  <c r="E160"/>
  <c r="O176" i="34"/>
  <c r="O176" i="58" s="1"/>
  <c r="E176"/>
  <c r="O135" i="34"/>
  <c r="O135" i="58" s="1"/>
  <c r="E135"/>
  <c r="O134" i="34"/>
  <c r="O134" i="58" s="1"/>
  <c r="E134"/>
  <c r="O133" i="34"/>
  <c r="O133" i="58" s="1"/>
  <c r="E133"/>
  <c r="O132" i="34"/>
  <c r="O132" i="58" s="1"/>
  <c r="E132"/>
  <c r="K178" i="34"/>
  <c r="K172" i="58"/>
  <c r="K178" s="1"/>
  <c r="N172"/>
  <c r="N178" s="1"/>
  <c r="N178" i="34"/>
  <c r="O177"/>
  <c r="O177" i="58" s="1"/>
  <c r="E177"/>
  <c r="O175" i="34"/>
  <c r="O175" i="58" s="1"/>
  <c r="E175"/>
  <c r="N59"/>
  <c r="N53"/>
  <c r="G69" i="38"/>
  <c r="C53" i="34"/>
  <c r="G125" i="38"/>
  <c r="G95"/>
  <c r="G110"/>
  <c r="G124"/>
  <c r="G108"/>
  <c r="G99"/>
  <c r="G112"/>
  <c r="G98"/>
  <c r="G97"/>
  <c r="K108"/>
  <c r="M108" s="1"/>
  <c r="M110"/>
  <c r="M112"/>
  <c r="K105"/>
  <c r="M105" s="1"/>
  <c r="J105"/>
  <c r="G96"/>
  <c r="G100"/>
  <c r="K91"/>
  <c r="M91" s="1"/>
  <c r="J91"/>
  <c r="J98"/>
  <c r="K60"/>
  <c r="M60" s="1"/>
  <c r="K65"/>
  <c r="M65" s="1"/>
  <c r="M69"/>
  <c r="M71"/>
  <c r="M73"/>
  <c r="M75"/>
  <c r="M77"/>
  <c r="K80"/>
  <c r="M80" s="1"/>
  <c r="M82"/>
  <c r="K85"/>
  <c r="M85" s="1"/>
  <c r="M87"/>
  <c r="M89"/>
  <c r="J17"/>
  <c r="K17"/>
  <c r="M17" s="1"/>
  <c r="J19"/>
  <c r="M19"/>
  <c r="J21"/>
  <c r="M21"/>
  <c r="J24"/>
  <c r="M24"/>
  <c r="J26"/>
  <c r="M26"/>
  <c r="J28"/>
  <c r="M28"/>
  <c r="J31"/>
  <c r="K31"/>
  <c r="M31" s="1"/>
  <c r="J33"/>
  <c r="M33"/>
  <c r="J35"/>
  <c r="M35"/>
  <c r="J37"/>
  <c r="M37"/>
  <c r="J40"/>
  <c r="M40"/>
  <c r="J42"/>
  <c r="M42"/>
  <c r="J45"/>
  <c r="K45"/>
  <c r="M45" s="1"/>
  <c r="J47"/>
  <c r="M47"/>
  <c r="J49"/>
  <c r="M49"/>
  <c r="J51"/>
  <c r="M51"/>
  <c r="J53"/>
  <c r="M53"/>
  <c r="J55"/>
  <c r="M55"/>
  <c r="J57"/>
  <c r="M57"/>
  <c r="K11"/>
  <c r="M11" s="1"/>
  <c r="M13"/>
  <c r="M15"/>
  <c r="G17"/>
  <c r="J18"/>
  <c r="G19"/>
  <c r="J20"/>
  <c r="G21"/>
  <c r="J23"/>
  <c r="G24"/>
  <c r="J25"/>
  <c r="G26"/>
  <c r="J27"/>
  <c r="G28"/>
  <c r="J29"/>
  <c r="G31"/>
  <c r="J32"/>
  <c r="G33"/>
  <c r="J34"/>
  <c r="G35"/>
  <c r="J36"/>
  <c r="G37"/>
  <c r="J39"/>
  <c r="G40"/>
  <c r="J41"/>
  <c r="G42"/>
  <c r="J43"/>
  <c r="G45"/>
  <c r="J46"/>
  <c r="G47"/>
  <c r="J48"/>
  <c r="G49"/>
  <c r="J50"/>
  <c r="G51"/>
  <c r="J52"/>
  <c r="G53"/>
  <c r="J54"/>
  <c r="G55"/>
  <c r="J56"/>
  <c r="G57"/>
  <c r="E53" i="34" l="1"/>
  <c r="C53" i="58"/>
  <c r="J100" i="38"/>
  <c r="M100"/>
  <c r="M97"/>
  <c r="M98"/>
  <c r="J97"/>
  <c r="M96"/>
  <c r="J96"/>
  <c r="M111"/>
  <c r="J111"/>
  <c r="M109"/>
  <c r="J109"/>
  <c r="J86"/>
  <c r="M86"/>
  <c r="J81"/>
  <c r="M81"/>
  <c r="J76"/>
  <c r="M76"/>
  <c r="J72"/>
  <c r="M72"/>
  <c r="J68"/>
  <c r="K68"/>
  <c r="M68" s="1"/>
  <c r="J88"/>
  <c r="M88"/>
  <c r="J83"/>
  <c r="M83"/>
  <c r="J78"/>
  <c r="M78"/>
  <c r="J74"/>
  <c r="M74"/>
  <c r="J70"/>
  <c r="M70"/>
  <c r="J63"/>
  <c r="M63"/>
  <c r="J14"/>
  <c r="M14"/>
  <c r="J12"/>
  <c r="M12"/>
  <c r="O14" i="2"/>
  <c r="D53" i="39" s="1"/>
  <c r="I70" i="50"/>
  <c r="I53"/>
  <c r="I51"/>
  <c r="I24"/>
  <c r="I20"/>
  <c r="I89"/>
  <c r="M69" i="49"/>
  <c r="M68"/>
  <c r="P129" i="48"/>
  <c r="I152" i="50"/>
  <c r="I147"/>
  <c r="I139"/>
  <c r="I133"/>
  <c r="I125"/>
  <c r="I122"/>
  <c r="I119"/>
  <c r="I96"/>
  <c r="I41"/>
  <c r="I38"/>
  <c r="I31"/>
  <c r="G9"/>
  <c r="I9" s="1"/>
  <c r="D9"/>
  <c r="C9"/>
  <c r="M42" i="49"/>
  <c r="I42"/>
  <c r="M26"/>
  <c r="M17"/>
  <c r="I17"/>
  <c r="M8"/>
  <c r="M151" i="31"/>
  <c r="L151"/>
  <c r="J151"/>
  <c r="I151"/>
  <c r="G151"/>
  <c r="F151"/>
  <c r="D151"/>
  <c r="C151"/>
  <c r="M126"/>
  <c r="L126"/>
  <c r="J126"/>
  <c r="I126"/>
  <c r="G126"/>
  <c r="F126"/>
  <c r="D126"/>
  <c r="C126"/>
  <c r="M42"/>
  <c r="L42"/>
  <c r="J42"/>
  <c r="I42"/>
  <c r="G42"/>
  <c r="F42"/>
  <c r="D42"/>
  <c r="C42"/>
  <c r="M16"/>
  <c r="L16"/>
  <c r="J16"/>
  <c r="I16"/>
  <c r="G16"/>
  <c r="F16"/>
  <c r="D16"/>
  <c r="C16"/>
  <c r="M33"/>
  <c r="L33"/>
  <c r="J33"/>
  <c r="I33"/>
  <c r="N31"/>
  <c r="K31"/>
  <c r="H31"/>
  <c r="E31"/>
  <c r="C15" i="46"/>
  <c r="C14"/>
  <c r="L9" i="51" l="1"/>
  <c r="I26" i="60"/>
  <c r="F106" i="50"/>
  <c r="I137"/>
  <c r="F136"/>
  <c r="I19"/>
  <c r="I58"/>
  <c r="I57"/>
  <c r="I78"/>
  <c r="I79"/>
  <c r="I76"/>
  <c r="I62"/>
  <c r="E47" i="47"/>
  <c r="F47"/>
  <c r="P75" i="2"/>
  <c r="P78"/>
  <c r="P82"/>
  <c r="P81"/>
  <c r="P80"/>
  <c r="M24" i="48"/>
  <c r="P41"/>
  <c r="P56"/>
  <c r="P61"/>
  <c r="P70"/>
  <c r="P79"/>
  <c r="P54"/>
  <c r="P60"/>
  <c r="P76"/>
  <c r="P77"/>
  <c r="F29" i="60"/>
  <c r="P64" i="48"/>
  <c r="P72"/>
  <c r="P119"/>
  <c r="P11"/>
  <c r="P50"/>
  <c r="P63"/>
  <c r="P71"/>
  <c r="P80"/>
  <c r="P110"/>
  <c r="P86"/>
  <c r="P113"/>
  <c r="P161"/>
  <c r="P85"/>
  <c r="P91"/>
  <c r="P160"/>
  <c r="P114"/>
  <c r="P88"/>
  <c r="P94"/>
  <c r="P115"/>
  <c r="P159"/>
  <c r="G47" i="47"/>
  <c r="K31" i="57"/>
  <c r="I31" i="34"/>
  <c r="L31"/>
  <c r="N31" i="57"/>
  <c r="I107" i="50"/>
  <c r="E31" i="57"/>
  <c r="Q31" i="31"/>
  <c r="E53" i="58"/>
  <c r="O53" i="34"/>
  <c r="O53" i="58" s="1"/>
  <c r="H31" i="57"/>
  <c r="F31" i="34"/>
  <c r="M64" i="49"/>
  <c r="M24"/>
  <c r="O31" i="31"/>
  <c r="C31" i="34"/>
  <c r="C33" i="31"/>
  <c r="M62" i="49"/>
  <c r="M99" i="38"/>
  <c r="M95"/>
  <c r="J95"/>
  <c r="J99"/>
  <c r="I46" i="50"/>
  <c r="I161"/>
  <c r="O26" i="60" l="1"/>
  <c r="J26"/>
  <c r="I106" i="50"/>
  <c r="J106"/>
  <c r="I136"/>
  <c r="J137"/>
  <c r="J136" s="1"/>
  <c r="H47" i="47"/>
  <c r="P77" i="2"/>
  <c r="P147" i="48"/>
  <c r="P52"/>
  <c r="P128"/>
  <c r="P10"/>
  <c r="P106"/>
  <c r="P109"/>
  <c r="P156"/>
  <c r="O31" i="57"/>
  <c r="D49" i="39"/>
  <c r="L31" i="58"/>
  <c r="N31" i="34"/>
  <c r="N31" i="58" s="1"/>
  <c r="I31"/>
  <c r="K31" i="34"/>
  <c r="K31" i="58" s="1"/>
  <c r="G31" i="34"/>
  <c r="G31" i="58" s="1"/>
  <c r="F31"/>
  <c r="M74" i="49"/>
  <c r="E31" i="34"/>
  <c r="C31" i="58"/>
  <c r="D81" i="51"/>
  <c r="J164" i="50" l="1"/>
  <c r="M57" i="48"/>
  <c r="E31" i="58"/>
  <c r="H31" i="34"/>
  <c r="H31" i="58" s="1"/>
  <c r="O31" i="34" l="1"/>
  <c r="O31" i="58" s="1"/>
  <c r="L95" i="48" l="1"/>
  <c r="M168" l="1"/>
  <c r="G33" i="31"/>
  <c r="J142"/>
  <c r="G140"/>
  <c r="F140"/>
  <c r="D140"/>
  <c r="D142" s="1"/>
  <c r="C140"/>
  <c r="C142" s="1"/>
  <c r="N60"/>
  <c r="N60" i="57" s="1"/>
  <c r="K60" i="31"/>
  <c r="K60" i="57" s="1"/>
  <c r="H60" i="31"/>
  <c r="H60" i="57" s="1"/>
  <c r="D64" i="31"/>
  <c r="H64"/>
  <c r="H64" i="57" s="1"/>
  <c r="K64" i="31"/>
  <c r="K64" i="57" s="1"/>
  <c r="N64" i="31"/>
  <c r="N64" i="57" s="1"/>
  <c r="D28" i="31"/>
  <c r="D28" i="57" s="1"/>
  <c r="D33" s="1"/>
  <c r="E33" s="1"/>
  <c r="O33" s="1"/>
  <c r="E60" i="31"/>
  <c r="E23"/>
  <c r="Q60" l="1"/>
  <c r="C23" i="34"/>
  <c r="C23" i="58" s="1"/>
  <c r="E23" i="57"/>
  <c r="E64" i="31"/>
  <c r="D64" i="57"/>
  <c r="D66" s="1"/>
  <c r="E66" s="1"/>
  <c r="O66" s="1"/>
  <c r="C59" i="34"/>
  <c r="E59" s="1"/>
  <c r="E60" i="57"/>
  <c r="O60" s="1"/>
  <c r="D33" i="31"/>
  <c r="K140"/>
  <c r="I142"/>
  <c r="O60"/>
  <c r="F33"/>
  <c r="H140"/>
  <c r="F136" i="34" s="1"/>
  <c r="E140" i="31"/>
  <c r="C136" i="34" s="1"/>
  <c r="E142" i="31"/>
  <c r="E23" i="34" l="1"/>
  <c r="E23" i="58" s="1"/>
  <c r="E59"/>
  <c r="O59" i="34"/>
  <c r="O59" i="58" s="1"/>
  <c r="Q64" i="31"/>
  <c r="E64" i="57"/>
  <c r="O64" s="1"/>
  <c r="O64" i="31"/>
  <c r="F136" i="58"/>
  <c r="H136" i="34"/>
  <c r="H136" i="58" s="1"/>
  <c r="C136"/>
  <c r="E136" i="34"/>
  <c r="C59" i="58"/>
  <c r="K142" i="31"/>
  <c r="M182"/>
  <c r="L182"/>
  <c r="J182"/>
  <c r="I182"/>
  <c r="G182"/>
  <c r="F182"/>
  <c r="D182"/>
  <c r="C182"/>
  <c r="N181"/>
  <c r="K181"/>
  <c r="H181"/>
  <c r="E181"/>
  <c r="N180"/>
  <c r="K180"/>
  <c r="H180"/>
  <c r="E180"/>
  <c r="N179"/>
  <c r="K179"/>
  <c r="H179"/>
  <c r="E179"/>
  <c r="N178"/>
  <c r="K178"/>
  <c r="H178"/>
  <c r="F174" i="34" s="1"/>
  <c r="E178" i="31"/>
  <c r="N177"/>
  <c r="K177"/>
  <c r="H177"/>
  <c r="F173" i="34" s="1"/>
  <c r="E177" i="31"/>
  <c r="C173" i="34" s="1"/>
  <c r="N176" i="31"/>
  <c r="K176"/>
  <c r="H176"/>
  <c r="E176"/>
  <c r="C172" i="34" s="1"/>
  <c r="E164" i="31"/>
  <c r="H164"/>
  <c r="K164"/>
  <c r="N164"/>
  <c r="E165"/>
  <c r="H165"/>
  <c r="K165"/>
  <c r="N165"/>
  <c r="E166"/>
  <c r="H166"/>
  <c r="K166"/>
  <c r="N166"/>
  <c r="E167"/>
  <c r="H167"/>
  <c r="K167"/>
  <c r="N167"/>
  <c r="E168"/>
  <c r="H168"/>
  <c r="K168"/>
  <c r="N168"/>
  <c r="E169"/>
  <c r="H169"/>
  <c r="F166" i="34" s="1"/>
  <c r="K169" i="31"/>
  <c r="N169"/>
  <c r="E170"/>
  <c r="H170"/>
  <c r="K170"/>
  <c r="N170"/>
  <c r="E171"/>
  <c r="H171"/>
  <c r="K171"/>
  <c r="N171"/>
  <c r="E173"/>
  <c r="C169" i="34" s="1"/>
  <c r="H173" i="31"/>
  <c r="K173"/>
  <c r="N173"/>
  <c r="N157"/>
  <c r="K157"/>
  <c r="H157"/>
  <c r="E157"/>
  <c r="N156"/>
  <c r="K156"/>
  <c r="H156"/>
  <c r="E156"/>
  <c r="N155"/>
  <c r="K155"/>
  <c r="H155"/>
  <c r="E155"/>
  <c r="C152" i="34" s="1"/>
  <c r="C152" i="58" s="1"/>
  <c r="N154" i="31"/>
  <c r="K154"/>
  <c r="H154"/>
  <c r="F151" i="34" s="1"/>
  <c r="F151" i="58" s="1"/>
  <c r="E154" i="31"/>
  <c r="C151" i="34" s="1"/>
  <c r="C151" i="58" s="1"/>
  <c r="N153" i="31"/>
  <c r="K153"/>
  <c r="H153"/>
  <c r="F150" i="34" s="1"/>
  <c r="F150" i="58" s="1"/>
  <c r="E153" i="31"/>
  <c r="C150" i="34" s="1"/>
  <c r="C150" i="58" s="1"/>
  <c r="C156" s="1"/>
  <c r="E156" s="1"/>
  <c r="M74" i="31"/>
  <c r="L74"/>
  <c r="J74"/>
  <c r="I74"/>
  <c r="C74"/>
  <c r="N73"/>
  <c r="K73"/>
  <c r="H73"/>
  <c r="E73"/>
  <c r="N72"/>
  <c r="K72"/>
  <c r="H72"/>
  <c r="E72"/>
  <c r="N71"/>
  <c r="K71"/>
  <c r="H71"/>
  <c r="E71"/>
  <c r="N70"/>
  <c r="K70"/>
  <c r="G74"/>
  <c r="H70"/>
  <c r="E70"/>
  <c r="N69"/>
  <c r="K69"/>
  <c r="H69"/>
  <c r="E69"/>
  <c r="N68"/>
  <c r="K68"/>
  <c r="H68"/>
  <c r="N150"/>
  <c r="K150"/>
  <c r="H150"/>
  <c r="E150"/>
  <c r="N149"/>
  <c r="K149"/>
  <c r="H149"/>
  <c r="E149"/>
  <c r="N148"/>
  <c r="K148"/>
  <c r="H148"/>
  <c r="E148"/>
  <c r="N147"/>
  <c r="K147"/>
  <c r="H147"/>
  <c r="E147"/>
  <c r="N146"/>
  <c r="K146"/>
  <c r="H146"/>
  <c r="E146"/>
  <c r="N145"/>
  <c r="K145"/>
  <c r="H145"/>
  <c r="F142" i="34" s="1"/>
  <c r="E145" i="31"/>
  <c r="C142" i="34" s="1"/>
  <c r="N144" i="31"/>
  <c r="K144"/>
  <c r="H144"/>
  <c r="E144"/>
  <c r="E132"/>
  <c r="C128" i="34" s="1"/>
  <c r="H132" i="31"/>
  <c r="K132"/>
  <c r="N132"/>
  <c r="E133"/>
  <c r="H133"/>
  <c r="K133"/>
  <c r="N133"/>
  <c r="E134"/>
  <c r="C130" i="34" s="1"/>
  <c r="H134" i="31"/>
  <c r="F130" i="34" s="1"/>
  <c r="K134" i="31"/>
  <c r="N134"/>
  <c r="E135"/>
  <c r="C131" i="34" s="1"/>
  <c r="H135" i="31"/>
  <c r="K135"/>
  <c r="N135"/>
  <c r="E136"/>
  <c r="H136"/>
  <c r="K136"/>
  <c r="N136"/>
  <c r="E137"/>
  <c r="H137"/>
  <c r="K137"/>
  <c r="N137"/>
  <c r="E138"/>
  <c r="H138"/>
  <c r="K138"/>
  <c r="N138"/>
  <c r="E139"/>
  <c r="H139"/>
  <c r="K139"/>
  <c r="N139"/>
  <c r="N140"/>
  <c r="N125"/>
  <c r="K125"/>
  <c r="H125"/>
  <c r="E125"/>
  <c r="N124"/>
  <c r="K124"/>
  <c r="H124"/>
  <c r="E124"/>
  <c r="N123"/>
  <c r="K123"/>
  <c r="H123"/>
  <c r="E123"/>
  <c r="N122"/>
  <c r="K122"/>
  <c r="H122"/>
  <c r="E122"/>
  <c r="C118" i="34" s="1"/>
  <c r="C118" i="58" s="1"/>
  <c r="N121" i="31"/>
  <c r="K121"/>
  <c r="H121"/>
  <c r="E121"/>
  <c r="C117" i="34" s="1"/>
  <c r="N120" i="31"/>
  <c r="K120"/>
  <c r="H120"/>
  <c r="E120"/>
  <c r="E80"/>
  <c r="H80"/>
  <c r="K80"/>
  <c r="N80"/>
  <c r="O80" s="1"/>
  <c r="E81"/>
  <c r="H81"/>
  <c r="K81"/>
  <c r="N81"/>
  <c r="O81" s="1"/>
  <c r="E82"/>
  <c r="H82"/>
  <c r="K82"/>
  <c r="N82"/>
  <c r="O82" s="1"/>
  <c r="E83"/>
  <c r="H83"/>
  <c r="K83"/>
  <c r="N83"/>
  <c r="O83" s="1"/>
  <c r="E84"/>
  <c r="H84"/>
  <c r="K84"/>
  <c r="N84"/>
  <c r="O84" s="1"/>
  <c r="E85"/>
  <c r="H85"/>
  <c r="K85"/>
  <c r="N85"/>
  <c r="O85" s="1"/>
  <c r="C86"/>
  <c r="D86"/>
  <c r="F86"/>
  <c r="G86"/>
  <c r="H86" s="1"/>
  <c r="I86"/>
  <c r="J86"/>
  <c r="L86"/>
  <c r="M86"/>
  <c r="E56"/>
  <c r="H56"/>
  <c r="H56" i="57" s="1"/>
  <c r="K56" i="31"/>
  <c r="N56"/>
  <c r="E57"/>
  <c r="H57"/>
  <c r="K57"/>
  <c r="N57"/>
  <c r="E58"/>
  <c r="H58"/>
  <c r="H58" i="57" s="1"/>
  <c r="K58" i="31"/>
  <c r="N58"/>
  <c r="E59"/>
  <c r="H59"/>
  <c r="K59"/>
  <c r="K59" i="57" s="1"/>
  <c r="N59" i="31"/>
  <c r="E61"/>
  <c r="H61"/>
  <c r="H61" i="57" s="1"/>
  <c r="N61" i="31"/>
  <c r="E62"/>
  <c r="H62"/>
  <c r="H62" i="57" s="1"/>
  <c r="K62" i="31"/>
  <c r="N62"/>
  <c r="E63"/>
  <c r="H63"/>
  <c r="H63" i="57" s="1"/>
  <c r="K63" i="31"/>
  <c r="N63"/>
  <c r="E65"/>
  <c r="H65"/>
  <c r="K65"/>
  <c r="N65"/>
  <c r="O171" l="1"/>
  <c r="O170"/>
  <c r="C166" i="34"/>
  <c r="E166" s="1"/>
  <c r="O169" i="31"/>
  <c r="O168"/>
  <c r="O167"/>
  <c r="O166"/>
  <c r="O165"/>
  <c r="O164"/>
  <c r="K65" i="57"/>
  <c r="I63" i="34"/>
  <c r="F142" i="58"/>
  <c r="F148" s="1"/>
  <c r="F148" i="34"/>
  <c r="H142"/>
  <c r="H142" i="58" s="1"/>
  <c r="Q59" i="31"/>
  <c r="C55" i="34"/>
  <c r="C55" i="58" s="1"/>
  <c r="Q56" i="31"/>
  <c r="E56" i="57"/>
  <c r="N69"/>
  <c r="L67" i="34"/>
  <c r="K71" i="57"/>
  <c r="I69" i="34"/>
  <c r="K72" i="57"/>
  <c r="I70" i="34"/>
  <c r="F156" i="58"/>
  <c r="H156" s="1"/>
  <c r="O156" s="1"/>
  <c r="F174"/>
  <c r="H174" i="34"/>
  <c r="K63" i="57"/>
  <c r="I62" i="34"/>
  <c r="K62" i="57"/>
  <c r="I61" i="34"/>
  <c r="H57" i="57"/>
  <c r="F56" i="34"/>
  <c r="K69" i="57"/>
  <c r="I67" i="34"/>
  <c r="C172" i="58"/>
  <c r="E172" i="34"/>
  <c r="C61"/>
  <c r="C61" i="58" s="1"/>
  <c r="Q62" i="31"/>
  <c r="E62" i="57"/>
  <c r="C117" i="58"/>
  <c r="C122" s="1"/>
  <c r="C122" i="34"/>
  <c r="C131" i="58"/>
  <c r="E131" i="34"/>
  <c r="C128" i="58"/>
  <c r="E128" i="34"/>
  <c r="Q70" i="31"/>
  <c r="E70" i="57"/>
  <c r="N71"/>
  <c r="L69" i="34"/>
  <c r="N72" i="57"/>
  <c r="L70" i="34"/>
  <c r="F166" i="58"/>
  <c r="H166" i="34"/>
  <c r="H166" i="58" s="1"/>
  <c r="Q61" i="31"/>
  <c r="C56" i="34"/>
  <c r="C56" i="58" s="1"/>
  <c r="E57" i="57"/>
  <c r="Q65" i="31"/>
  <c r="C62" i="34"/>
  <c r="E62" s="1"/>
  <c r="Q63" i="31"/>
  <c r="E63" i="57"/>
  <c r="N59"/>
  <c r="L58" i="34"/>
  <c r="N57" i="57"/>
  <c r="L56" i="34"/>
  <c r="L55"/>
  <c r="N56" i="57"/>
  <c r="N65"/>
  <c r="L63" i="34"/>
  <c r="N63" i="57"/>
  <c r="L62" i="34"/>
  <c r="N62" i="57"/>
  <c r="L61" i="34"/>
  <c r="I57"/>
  <c r="K57" i="57"/>
  <c r="K56"/>
  <c r="I56" i="34"/>
  <c r="C142" i="58"/>
  <c r="C148" s="1"/>
  <c r="C148" i="34"/>
  <c r="E142"/>
  <c r="H69" i="57"/>
  <c r="F67" i="34"/>
  <c r="Q71" i="31"/>
  <c r="E71" i="57"/>
  <c r="Q72" i="31"/>
  <c r="Q73"/>
  <c r="C169" i="58"/>
  <c r="E169" i="34"/>
  <c r="E169" i="58" s="1"/>
  <c r="C168" i="34"/>
  <c r="C167"/>
  <c r="C166" i="58"/>
  <c r="C163" i="34"/>
  <c r="C161"/>
  <c r="E136" i="58"/>
  <c r="O136" i="34"/>
  <c r="O136" i="58" s="1"/>
  <c r="H72" i="57"/>
  <c r="F70" i="34"/>
  <c r="C70"/>
  <c r="C70" i="58" s="1"/>
  <c r="E72" i="57"/>
  <c r="N58"/>
  <c r="L57" i="34"/>
  <c r="K58" i="57"/>
  <c r="I58" i="34"/>
  <c r="C57"/>
  <c r="E57" s="1"/>
  <c r="E58" i="57"/>
  <c r="F173" i="58"/>
  <c r="F178" i="34"/>
  <c r="H173"/>
  <c r="C178"/>
  <c r="C173" i="58"/>
  <c r="E173" i="34"/>
  <c r="C67"/>
  <c r="C67" i="58" s="1"/>
  <c r="E69" i="57"/>
  <c r="F130" i="58"/>
  <c r="H130" i="34"/>
  <c r="C130" i="58"/>
  <c r="E130" i="34"/>
  <c r="H71" i="57"/>
  <c r="F69" i="34"/>
  <c r="N68" i="57"/>
  <c r="L66" i="34"/>
  <c r="I66"/>
  <c r="K68" i="57"/>
  <c r="I10" i="34"/>
  <c r="I10" i="58" s="1"/>
  <c r="H68" i="57"/>
  <c r="F66" i="34"/>
  <c r="H59" i="57"/>
  <c r="F58" i="34"/>
  <c r="C58"/>
  <c r="E58" s="1"/>
  <c r="E59" i="57"/>
  <c r="N61"/>
  <c r="L60" i="34"/>
  <c r="K61" i="57"/>
  <c r="I60" i="34"/>
  <c r="C60"/>
  <c r="E60" s="1"/>
  <c r="E61" i="57"/>
  <c r="L68" i="34"/>
  <c r="N70" i="57"/>
  <c r="K70"/>
  <c r="I68" i="34"/>
  <c r="H70" i="57"/>
  <c r="F68" i="34"/>
  <c r="F63"/>
  <c r="H65" i="57"/>
  <c r="C63" i="34"/>
  <c r="C63" i="58" s="1"/>
  <c r="E65" i="57"/>
  <c r="C62" i="58"/>
  <c r="E55" i="34"/>
  <c r="O120" i="31"/>
  <c r="O121"/>
  <c r="E182"/>
  <c r="N182"/>
  <c r="O173"/>
  <c r="O122"/>
  <c r="O125"/>
  <c r="O147"/>
  <c r="O150"/>
  <c r="O123"/>
  <c r="O124"/>
  <c r="O144"/>
  <c r="O146"/>
  <c r="O148"/>
  <c r="O149"/>
  <c r="O65"/>
  <c r="O62"/>
  <c r="K86"/>
  <c r="E86"/>
  <c r="O140"/>
  <c r="O139"/>
  <c r="O138"/>
  <c r="O137"/>
  <c r="O136"/>
  <c r="O135"/>
  <c r="O134"/>
  <c r="O133"/>
  <c r="O132"/>
  <c r="O155"/>
  <c r="O156"/>
  <c r="O157"/>
  <c r="O176"/>
  <c r="O178"/>
  <c r="O179"/>
  <c r="O180"/>
  <c r="O181"/>
  <c r="O56"/>
  <c r="O145"/>
  <c r="O63"/>
  <c r="O153"/>
  <c r="O61"/>
  <c r="O59"/>
  <c r="H182"/>
  <c r="O177"/>
  <c r="O58"/>
  <c r="O57"/>
  <c r="O154"/>
  <c r="N86"/>
  <c r="O86" s="1"/>
  <c r="O71"/>
  <c r="O73"/>
  <c r="K182"/>
  <c r="N74"/>
  <c r="O72"/>
  <c r="K74"/>
  <c r="O69"/>
  <c r="O70"/>
  <c r="F74"/>
  <c r="H74" s="1"/>
  <c r="E56" i="34" l="1"/>
  <c r="E56" i="58" s="1"/>
  <c r="E61" i="34"/>
  <c r="E61" i="58" s="1"/>
  <c r="F178"/>
  <c r="O173" i="34"/>
  <c r="O173" i="58" s="1"/>
  <c r="C178"/>
  <c r="E58"/>
  <c r="O69" i="57"/>
  <c r="O71"/>
  <c r="C163" i="58"/>
  <c r="E163" i="34"/>
  <c r="I56" i="58"/>
  <c r="K56" i="34"/>
  <c r="K56" i="58" s="1"/>
  <c r="L61"/>
  <c r="N61" i="34"/>
  <c r="N61" i="58" s="1"/>
  <c r="L63"/>
  <c r="N63" i="34"/>
  <c r="N63" i="58" s="1"/>
  <c r="L56"/>
  <c r="N56" i="34"/>
  <c r="N56" i="58" s="1"/>
  <c r="O63" i="57"/>
  <c r="O57"/>
  <c r="E172" i="58"/>
  <c r="O172" i="34"/>
  <c r="O172" i="58" s="1"/>
  <c r="R172" s="1"/>
  <c r="G56" i="34"/>
  <c r="G56" i="58" s="1"/>
  <c r="F56"/>
  <c r="I62"/>
  <c r="K62" i="34"/>
  <c r="K62" i="58" s="1"/>
  <c r="O59" i="57"/>
  <c r="C167" i="58"/>
  <c r="E167" i="34"/>
  <c r="O142"/>
  <c r="O142" i="58" s="1"/>
  <c r="E142"/>
  <c r="L70"/>
  <c r="N70" i="34"/>
  <c r="N70" i="58" s="1"/>
  <c r="O131" i="34"/>
  <c r="O131" i="58" s="1"/>
  <c r="E131"/>
  <c r="O62" i="57"/>
  <c r="I70" i="58"/>
  <c r="K70" i="34"/>
  <c r="K70" i="58" s="1"/>
  <c r="L67"/>
  <c r="N67" i="34"/>
  <c r="N67" i="58" s="1"/>
  <c r="C161"/>
  <c r="E161" i="34"/>
  <c r="L62" i="58"/>
  <c r="N62" i="34"/>
  <c r="N62" i="58" s="1"/>
  <c r="L58"/>
  <c r="N58" i="34"/>
  <c r="I67" i="58"/>
  <c r="K67" i="34"/>
  <c r="K67" i="58" s="1"/>
  <c r="I61"/>
  <c r="K61" i="34"/>
  <c r="K61" i="58" s="1"/>
  <c r="O174" i="34"/>
  <c r="O174" i="58" s="1"/>
  <c r="H174"/>
  <c r="I63"/>
  <c r="K63" i="34"/>
  <c r="K63" i="58" s="1"/>
  <c r="E166"/>
  <c r="O166" i="34"/>
  <c r="O166" i="58" s="1"/>
  <c r="C168"/>
  <c r="E168" i="34"/>
  <c r="G67"/>
  <c r="G67" i="58" s="1"/>
  <c r="F67"/>
  <c r="I57"/>
  <c r="K57" i="34"/>
  <c r="K57" i="58" s="1"/>
  <c r="L55"/>
  <c r="N55" i="34"/>
  <c r="N55" i="58" s="1"/>
  <c r="L69"/>
  <c r="N69" i="34"/>
  <c r="N69" i="58" s="1"/>
  <c r="O128" i="34"/>
  <c r="O128" i="58" s="1"/>
  <c r="E128"/>
  <c r="I69"/>
  <c r="K69" i="34"/>
  <c r="K69" i="58" s="1"/>
  <c r="O56" i="57"/>
  <c r="E60" i="58"/>
  <c r="E57"/>
  <c r="E62"/>
  <c r="E55"/>
  <c r="E130"/>
  <c r="O130" i="34"/>
  <c r="O130" i="58" s="1"/>
  <c r="G70" i="34"/>
  <c r="G70" i="58" s="1"/>
  <c r="F70"/>
  <c r="O72" i="57"/>
  <c r="E70" i="34"/>
  <c r="L57" i="58"/>
  <c r="N57" i="34"/>
  <c r="O58" i="57"/>
  <c r="I58" i="58"/>
  <c r="K58" i="34"/>
  <c r="K58" i="58" s="1"/>
  <c r="C57"/>
  <c r="H178" i="34"/>
  <c r="H173" i="58"/>
  <c r="E173"/>
  <c r="E178" i="34"/>
  <c r="E67"/>
  <c r="H130" i="58"/>
  <c r="G69" i="34"/>
  <c r="G69" i="58" s="1"/>
  <c r="F69"/>
  <c r="O65" i="57"/>
  <c r="C58" i="58"/>
  <c r="L66"/>
  <c r="N66" i="34"/>
  <c r="N66" i="58" s="1"/>
  <c r="I66"/>
  <c r="K66" i="34"/>
  <c r="K66" i="58" s="1"/>
  <c r="F66"/>
  <c r="G66" i="34"/>
  <c r="G66" i="58" s="1"/>
  <c r="G58" i="34"/>
  <c r="G58" i="58" s="1"/>
  <c r="F58"/>
  <c r="L60"/>
  <c r="N60" i="34"/>
  <c r="O61" i="57"/>
  <c r="I60" i="58"/>
  <c r="K60" i="34"/>
  <c r="K60" i="58" s="1"/>
  <c r="C60"/>
  <c r="L68"/>
  <c r="L71" i="34"/>
  <c r="N68"/>
  <c r="I68" i="58"/>
  <c r="I71" i="34"/>
  <c r="K68"/>
  <c r="O70" i="57"/>
  <c r="G68" i="34"/>
  <c r="H68" s="1"/>
  <c r="F71"/>
  <c r="F68" i="58"/>
  <c r="G63" i="34"/>
  <c r="G63" i="58" s="1"/>
  <c r="F63"/>
  <c r="E63" i="34"/>
  <c r="O182" i="31"/>
  <c r="E178" i="58" l="1"/>
  <c r="O61" i="34"/>
  <c r="O61" i="58" s="1"/>
  <c r="H178"/>
  <c r="O62" i="34"/>
  <c r="O62" i="58" s="1"/>
  <c r="H67" i="34"/>
  <c r="H67" i="58" s="1"/>
  <c r="O57" i="34"/>
  <c r="O57" i="58" s="1"/>
  <c r="E168"/>
  <c r="O168" i="34"/>
  <c r="O168" i="58" s="1"/>
  <c r="N58"/>
  <c r="E161"/>
  <c r="O161" i="34"/>
  <c r="O161" i="58" s="1"/>
  <c r="E167"/>
  <c r="O167" i="34"/>
  <c r="O167" i="58" s="1"/>
  <c r="E163"/>
  <c r="O163" i="34"/>
  <c r="O163" i="58" s="1"/>
  <c r="H56" i="34"/>
  <c r="O60"/>
  <c r="O60" i="58" s="1"/>
  <c r="E63"/>
  <c r="O68" i="34"/>
  <c r="O68" i="58" s="1"/>
  <c r="E67"/>
  <c r="H70" i="34"/>
  <c r="H70" i="58" s="1"/>
  <c r="E70"/>
  <c r="N57"/>
  <c r="O178" i="34"/>
  <c r="F71" i="58"/>
  <c r="H69" i="34"/>
  <c r="O69" s="1"/>
  <c r="I71" i="58"/>
  <c r="H66" i="34"/>
  <c r="H66" i="58" s="1"/>
  <c r="L71"/>
  <c r="H58" i="34"/>
  <c r="N60" i="58"/>
  <c r="N68"/>
  <c r="N71" s="1"/>
  <c r="N71" i="34"/>
  <c r="K68" i="58"/>
  <c r="K71" s="1"/>
  <c r="K71" i="34"/>
  <c r="H68" i="58"/>
  <c r="G68"/>
  <c r="G71" s="1"/>
  <c r="G71" i="34"/>
  <c r="H63"/>
  <c r="H63" i="58" s="1"/>
  <c r="E40" i="31"/>
  <c r="H40"/>
  <c r="H40" i="57" s="1"/>
  <c r="K40" i="31"/>
  <c r="N40"/>
  <c r="E41"/>
  <c r="H41"/>
  <c r="K41"/>
  <c r="N41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H28" i="57" s="1"/>
  <c r="K28" i="31"/>
  <c r="K28" i="57" s="1"/>
  <c r="N28" i="31"/>
  <c r="E29"/>
  <c r="H29"/>
  <c r="K29"/>
  <c r="K29" i="57" s="1"/>
  <c r="N29" i="31"/>
  <c r="E30"/>
  <c r="H30"/>
  <c r="K30"/>
  <c r="N30"/>
  <c r="E32"/>
  <c r="H32"/>
  <c r="K32"/>
  <c r="K32" i="57" s="1"/>
  <c r="N32" i="31"/>
  <c r="O178" i="58" l="1"/>
  <c r="O67" i="34"/>
  <c r="O67" i="58" s="1"/>
  <c r="H58"/>
  <c r="O58" i="34"/>
  <c r="O58" i="58" s="1"/>
  <c r="O70" i="34"/>
  <c r="O70" i="58" s="1"/>
  <c r="Q24" i="31"/>
  <c r="H32" i="57"/>
  <c r="F32" i="34"/>
  <c r="H30" i="57"/>
  <c r="F30" i="34"/>
  <c r="H26" i="57"/>
  <c r="F26" i="34"/>
  <c r="H25" i="57"/>
  <c r="F25" i="34"/>
  <c r="F23"/>
  <c r="F23" i="58" s="1"/>
  <c r="H23" i="57"/>
  <c r="Q23" i="31"/>
  <c r="E41" i="57"/>
  <c r="Q41" i="31"/>
  <c r="Q40"/>
  <c r="E40" i="57"/>
  <c r="N32"/>
  <c r="L32" i="34"/>
  <c r="N28" i="57"/>
  <c r="L28" i="34"/>
  <c r="K25" i="57"/>
  <c r="I25" i="34"/>
  <c r="I23"/>
  <c r="K23" i="57"/>
  <c r="Q32" i="31"/>
  <c r="E32" i="57"/>
  <c r="C30" i="34"/>
  <c r="C30" i="58" s="1"/>
  <c r="Q30" i="31"/>
  <c r="E30" i="57"/>
  <c r="Q29" i="31"/>
  <c r="E29" i="57"/>
  <c r="C28" i="34"/>
  <c r="C28" i="58" s="1"/>
  <c r="Q28" i="31"/>
  <c r="E28" i="57"/>
  <c r="Q27" i="31"/>
  <c r="E27" i="57"/>
  <c r="Q26" i="31"/>
  <c r="E26" i="57"/>
  <c r="C25" i="34"/>
  <c r="E25" s="1"/>
  <c r="Q25" i="31"/>
  <c r="E25" i="57"/>
  <c r="L29" i="34"/>
  <c r="N29" i="57"/>
  <c r="L26" i="34"/>
  <c r="N26" i="57"/>
  <c r="N25"/>
  <c r="L25" i="34"/>
  <c r="L24"/>
  <c r="N24" i="57"/>
  <c r="N23"/>
  <c r="L23" i="34"/>
  <c r="I40"/>
  <c r="K40" i="57"/>
  <c r="N30"/>
  <c r="L30" i="34"/>
  <c r="K30" i="57"/>
  <c r="I30" i="34"/>
  <c r="K26" i="57"/>
  <c r="I26" i="34"/>
  <c r="H56" i="58"/>
  <c r="O56" i="34"/>
  <c r="O56" i="58" s="1"/>
  <c r="O63" i="34"/>
  <c r="O63" i="58" s="1"/>
  <c r="L41" i="34"/>
  <c r="N41" i="57"/>
  <c r="I41" i="34"/>
  <c r="K41" i="57"/>
  <c r="H41"/>
  <c r="F41" i="34"/>
  <c r="K24" i="57"/>
  <c r="I24" i="34"/>
  <c r="H24" i="57"/>
  <c r="F24" i="34"/>
  <c r="C24"/>
  <c r="C24" i="58" s="1"/>
  <c r="E24" i="57"/>
  <c r="N27"/>
  <c r="L27" i="34"/>
  <c r="I27"/>
  <c r="K27" i="57"/>
  <c r="H27"/>
  <c r="F27" i="34"/>
  <c r="H69" i="58"/>
  <c r="H71" s="1"/>
  <c r="O69"/>
  <c r="H71" i="34"/>
  <c r="H29" i="57"/>
  <c r="F29" i="34"/>
  <c r="L40"/>
  <c r="N40" i="57"/>
  <c r="E28" i="34"/>
  <c r="O26" i="31"/>
  <c r="O32"/>
  <c r="O29"/>
  <c r="O23"/>
  <c r="O41"/>
  <c r="O28"/>
  <c r="O27"/>
  <c r="O24"/>
  <c r="O40"/>
  <c r="O30"/>
  <c r="O25"/>
  <c r="G23" i="34" l="1"/>
  <c r="G23" i="58" s="1"/>
  <c r="E30" i="34"/>
  <c r="O28" i="57"/>
  <c r="O40"/>
  <c r="O32"/>
  <c r="I26" i="58"/>
  <c r="K26" i="34"/>
  <c r="K26" i="58" s="1"/>
  <c r="L25"/>
  <c r="N25" i="34"/>
  <c r="N25" i="58" s="1"/>
  <c r="I30"/>
  <c r="K30" i="34"/>
  <c r="K30" i="58" s="1"/>
  <c r="O25" i="57"/>
  <c r="O30"/>
  <c r="G25" i="34"/>
  <c r="G25" i="58" s="1"/>
  <c r="F25"/>
  <c r="G30" i="34"/>
  <c r="G30" i="58" s="1"/>
  <c r="F30"/>
  <c r="C25"/>
  <c r="O29" i="57"/>
  <c r="I40" i="58"/>
  <c r="K40" i="34"/>
  <c r="K40" i="58" s="1"/>
  <c r="L24"/>
  <c r="N24" i="34"/>
  <c r="N24" i="58" s="1"/>
  <c r="L26"/>
  <c r="N26" i="34"/>
  <c r="N26" i="58" s="1"/>
  <c r="L28"/>
  <c r="N28" i="34"/>
  <c r="N28" i="58" s="1"/>
  <c r="I23"/>
  <c r="K23" i="34"/>
  <c r="K23" i="58" s="1"/>
  <c r="O23" i="57"/>
  <c r="G26" i="34"/>
  <c r="G26" i="58" s="1"/>
  <c r="F26"/>
  <c r="F32"/>
  <c r="H32" i="34"/>
  <c r="L30" i="58"/>
  <c r="N30" i="34"/>
  <c r="N30" i="58" s="1"/>
  <c r="L23"/>
  <c r="N23" i="34"/>
  <c r="N23" i="58" s="1"/>
  <c r="L29"/>
  <c r="N29" i="34"/>
  <c r="N29" i="58" s="1"/>
  <c r="O26" i="57"/>
  <c r="I25" i="58"/>
  <c r="K25" i="34"/>
  <c r="K25" i="58" s="1"/>
  <c r="L32"/>
  <c r="N32" i="34"/>
  <c r="N32" i="58" s="1"/>
  <c r="E30"/>
  <c r="E25"/>
  <c r="E28"/>
  <c r="L41"/>
  <c r="N41" i="34"/>
  <c r="I41" i="58"/>
  <c r="K41" i="34"/>
  <c r="K41" i="58" s="1"/>
  <c r="O41" i="57"/>
  <c r="G41" i="34"/>
  <c r="G41" i="58" s="1"/>
  <c r="F41"/>
  <c r="I24"/>
  <c r="K24" i="34"/>
  <c r="K24" i="58" s="1"/>
  <c r="O24" i="57"/>
  <c r="G24" i="34"/>
  <c r="G24" i="58" s="1"/>
  <c r="F24"/>
  <c r="E24" i="34"/>
  <c r="L27" i="58"/>
  <c r="N27" i="34"/>
  <c r="O27" i="57"/>
  <c r="I27" i="58"/>
  <c r="K27" i="34"/>
  <c r="K27" i="58" s="1"/>
  <c r="F27"/>
  <c r="G27" i="34"/>
  <c r="G27" i="58" s="1"/>
  <c r="G29" i="34"/>
  <c r="G29" i="58" s="1"/>
  <c r="F29"/>
  <c r="L40"/>
  <c r="N40" i="34"/>
  <c r="H23"/>
  <c r="O40" l="1"/>
  <c r="O40" i="58" s="1"/>
  <c r="H25" i="34"/>
  <c r="H32" i="58"/>
  <c r="O32" i="34"/>
  <c r="O32" i="58" s="1"/>
  <c r="H26" i="34"/>
  <c r="H30"/>
  <c r="O28"/>
  <c r="O28" i="58" s="1"/>
  <c r="E24"/>
  <c r="H23"/>
  <c r="O23" i="34"/>
  <c r="O23" i="58" s="1"/>
  <c r="N41"/>
  <c r="H41" i="34"/>
  <c r="H24"/>
  <c r="H24" i="58" s="1"/>
  <c r="N27"/>
  <c r="H27" i="34"/>
  <c r="H29"/>
  <c r="N40" i="58"/>
  <c r="O24" i="34" l="1"/>
  <c r="O24" i="58" s="1"/>
  <c r="H26"/>
  <c r="O26" i="34"/>
  <c r="O26" i="58" s="1"/>
  <c r="H30"/>
  <c r="O30" i="34"/>
  <c r="O30" i="58" s="1"/>
  <c r="H25"/>
  <c r="O25" i="34"/>
  <c r="O25" i="58" s="1"/>
  <c r="H27"/>
  <c r="O27" i="34"/>
  <c r="O27" i="58" s="1"/>
  <c r="H41"/>
  <c r="O41" i="34"/>
  <c r="O41" i="58" s="1"/>
  <c r="H29"/>
  <c r="O29" i="34"/>
  <c r="O29" i="58" s="1"/>
  <c r="P136" i="48" l="1"/>
  <c r="P120"/>
  <c r="P42"/>
  <c r="P32"/>
  <c r="P155" l="1"/>
  <c r="P127"/>
  <c r="P107"/>
  <c r="P47"/>
  <c r="P39"/>
  <c r="P9"/>
  <c r="P142"/>
  <c r="P97"/>
  <c r="P165"/>
  <c r="P150"/>
  <c r="B49" i="39"/>
  <c r="C49"/>
  <c r="H7" i="47" l="1"/>
  <c r="D32" i="46" l="1"/>
  <c r="E32"/>
  <c r="F32"/>
  <c r="C32"/>
  <c r="D46"/>
  <c r="E46"/>
  <c r="F46"/>
  <c r="C46"/>
  <c r="E18"/>
  <c r="D18"/>
  <c r="C18"/>
  <c r="H8" i="47"/>
  <c r="H9"/>
  <c r="B29" i="39" l="1"/>
  <c r="D24"/>
  <c r="J37" i="36"/>
  <c r="J38" s="1"/>
  <c r="I37"/>
  <c r="I38" s="1"/>
  <c r="H37"/>
  <c r="H38" s="1"/>
  <c r="G37"/>
  <c r="G38" s="1"/>
  <c r="F37"/>
  <c r="F38" s="1"/>
  <c r="F33"/>
  <c r="E37"/>
  <c r="E38" s="1"/>
  <c r="E33"/>
  <c r="F30"/>
  <c r="G30"/>
  <c r="H30"/>
  <c r="I30"/>
  <c r="J30"/>
  <c r="E30"/>
  <c r="F25"/>
  <c r="G25"/>
  <c r="H25"/>
  <c r="I25"/>
  <c r="J25"/>
  <c r="E25"/>
  <c r="F20"/>
  <c r="G20"/>
  <c r="F17" i="47" s="1"/>
  <c r="H20" i="36"/>
  <c r="I20"/>
  <c r="G17" i="47" s="1"/>
  <c r="H17" s="1"/>
  <c r="J20" i="36"/>
  <c r="E20"/>
  <c r="B19" i="39" l="1"/>
  <c r="K8" i="47"/>
  <c r="B11" i="39"/>
  <c r="C24"/>
  <c r="B13"/>
  <c r="M134" i="38" l="1"/>
  <c r="J134"/>
  <c r="G134"/>
  <c r="M133"/>
  <c r="J133"/>
  <c r="G133"/>
  <c r="M132"/>
  <c r="J132"/>
  <c r="G132"/>
  <c r="M131"/>
  <c r="J131"/>
  <c r="G131"/>
  <c r="M130"/>
  <c r="J130"/>
  <c r="G130"/>
  <c r="M129"/>
  <c r="J129"/>
  <c r="G129"/>
  <c r="M128"/>
  <c r="J128"/>
  <c r="G128"/>
  <c r="M107"/>
  <c r="M213" i="34" l="1"/>
  <c r="L213"/>
  <c r="J213"/>
  <c r="I213"/>
  <c r="G213"/>
  <c r="F213"/>
  <c r="D213"/>
  <c r="C213"/>
  <c r="N212"/>
  <c r="O212" s="1"/>
  <c r="K212"/>
  <c r="H212"/>
  <c r="E212"/>
  <c r="N211"/>
  <c r="O211" s="1"/>
  <c r="K211"/>
  <c r="H211"/>
  <c r="E211"/>
  <c r="N210"/>
  <c r="O210" s="1"/>
  <c r="K210"/>
  <c r="H210"/>
  <c r="E210"/>
  <c r="N209"/>
  <c r="O209" s="1"/>
  <c r="K209"/>
  <c r="H209"/>
  <c r="E209"/>
  <c r="N208"/>
  <c r="O208" s="1"/>
  <c r="K208"/>
  <c r="H208"/>
  <c r="E208"/>
  <c r="N207"/>
  <c r="O207" s="1"/>
  <c r="K207"/>
  <c r="H207"/>
  <c r="E207"/>
  <c r="M205"/>
  <c r="L205"/>
  <c r="J205"/>
  <c r="I205"/>
  <c r="G205"/>
  <c r="F205"/>
  <c r="D205"/>
  <c r="C205"/>
  <c r="N204"/>
  <c r="O204" s="1"/>
  <c r="K204"/>
  <c r="H204"/>
  <c r="E204"/>
  <c r="N203"/>
  <c r="O203" s="1"/>
  <c r="K203"/>
  <c r="H203"/>
  <c r="E203"/>
  <c r="N202"/>
  <c r="O202" s="1"/>
  <c r="K202"/>
  <c r="H202"/>
  <c r="E202"/>
  <c r="N201"/>
  <c r="O201" s="1"/>
  <c r="K201"/>
  <c r="H201"/>
  <c r="E201"/>
  <c r="N200"/>
  <c r="O200" s="1"/>
  <c r="K200"/>
  <c r="H200"/>
  <c r="E200"/>
  <c r="N199"/>
  <c r="O199" s="1"/>
  <c r="K199"/>
  <c r="H199"/>
  <c r="E199"/>
  <c r="M197"/>
  <c r="L197"/>
  <c r="J197"/>
  <c r="I197"/>
  <c r="G197"/>
  <c r="F197"/>
  <c r="D197"/>
  <c r="C197"/>
  <c r="N196"/>
  <c r="O196" s="1"/>
  <c r="K196"/>
  <c r="H196"/>
  <c r="E196"/>
  <c r="N195"/>
  <c r="O195" s="1"/>
  <c r="K195"/>
  <c r="H195"/>
  <c r="E195"/>
  <c r="N194"/>
  <c r="O194" s="1"/>
  <c r="K194"/>
  <c r="H194"/>
  <c r="E194"/>
  <c r="N193"/>
  <c r="O193" s="1"/>
  <c r="K193"/>
  <c r="H193"/>
  <c r="E193"/>
  <c r="N192"/>
  <c r="O192" s="1"/>
  <c r="K192"/>
  <c r="H192"/>
  <c r="E192"/>
  <c r="N191"/>
  <c r="O191" s="1"/>
  <c r="K191"/>
  <c r="H191"/>
  <c r="E191"/>
  <c r="M189"/>
  <c r="L189"/>
  <c r="J189"/>
  <c r="I189"/>
  <c r="G189"/>
  <c r="F189"/>
  <c r="D189"/>
  <c r="C189"/>
  <c r="N188"/>
  <c r="O188" s="1"/>
  <c r="K188"/>
  <c r="H188"/>
  <c r="E188"/>
  <c r="N187"/>
  <c r="O187" s="1"/>
  <c r="K187"/>
  <c r="H187"/>
  <c r="E187"/>
  <c r="N186"/>
  <c r="O186" s="1"/>
  <c r="K186"/>
  <c r="H186"/>
  <c r="E186"/>
  <c r="N185"/>
  <c r="O185" s="1"/>
  <c r="K185"/>
  <c r="H185"/>
  <c r="E185"/>
  <c r="N184"/>
  <c r="O184" s="1"/>
  <c r="K184"/>
  <c r="H184"/>
  <c r="E184"/>
  <c r="N183"/>
  <c r="O183" s="1"/>
  <c r="K183"/>
  <c r="H183"/>
  <c r="E183"/>
  <c r="M170"/>
  <c r="L170"/>
  <c r="J170"/>
  <c r="I170"/>
  <c r="G170"/>
  <c r="D170"/>
  <c r="N158"/>
  <c r="K158"/>
  <c r="E158"/>
  <c r="E158" i="58" s="1"/>
  <c r="M156" i="34"/>
  <c r="L156"/>
  <c r="J156"/>
  <c r="J214" s="1"/>
  <c r="I156"/>
  <c r="G156"/>
  <c r="F156"/>
  <c r="D156"/>
  <c r="C156"/>
  <c r="N155"/>
  <c r="N155" i="58" s="1"/>
  <c r="K155" i="34"/>
  <c r="K155" i="58" s="1"/>
  <c r="H155" i="34"/>
  <c r="H155" i="58" s="1"/>
  <c r="E155" i="34"/>
  <c r="N154"/>
  <c r="N154" i="58" s="1"/>
  <c r="K154" i="34"/>
  <c r="K154" i="58" s="1"/>
  <c r="H154" i="34"/>
  <c r="H154" i="58" s="1"/>
  <c r="E154" i="34"/>
  <c r="N153"/>
  <c r="N153" i="58" s="1"/>
  <c r="K153" i="34"/>
  <c r="K153" i="58" s="1"/>
  <c r="H153" i="34"/>
  <c r="H153" i="58" s="1"/>
  <c r="E153" i="34"/>
  <c r="N152"/>
  <c r="N152" i="58" s="1"/>
  <c r="K152" i="34"/>
  <c r="K152" i="58" s="1"/>
  <c r="H152" i="34"/>
  <c r="H152" i="58" s="1"/>
  <c r="E152" i="34"/>
  <c r="N151"/>
  <c r="N151" i="58" s="1"/>
  <c r="K151" i="34"/>
  <c r="K151" i="58" s="1"/>
  <c r="H151" i="34"/>
  <c r="H151" i="58" s="1"/>
  <c r="E151" i="34"/>
  <c r="N150"/>
  <c r="N150" i="58" s="1"/>
  <c r="K150" i="34"/>
  <c r="K150" i="58" s="1"/>
  <c r="H150" i="34"/>
  <c r="H150" i="58" s="1"/>
  <c r="E150" i="34"/>
  <c r="N141"/>
  <c r="K141"/>
  <c r="H141"/>
  <c r="E141"/>
  <c r="N127"/>
  <c r="N127" i="58" s="1"/>
  <c r="K127" i="34"/>
  <c r="K127" i="58" s="1"/>
  <c r="H127" i="34"/>
  <c r="H127" i="58" s="1"/>
  <c r="E127" i="34"/>
  <c r="N126"/>
  <c r="N126" i="58" s="1"/>
  <c r="K126" i="34"/>
  <c r="K126" i="58" s="1"/>
  <c r="H126" i="34"/>
  <c r="H126" i="58" s="1"/>
  <c r="E126" i="34"/>
  <c r="N125"/>
  <c r="N125" i="58" s="1"/>
  <c r="K125" i="34"/>
  <c r="K125" i="58" s="1"/>
  <c r="H125" i="34"/>
  <c r="H125" i="58" s="1"/>
  <c r="E125" i="34"/>
  <c r="N124"/>
  <c r="K124"/>
  <c r="H124"/>
  <c r="H124" i="58" s="1"/>
  <c r="L214" i="34"/>
  <c r="N121"/>
  <c r="N121" i="58" s="1"/>
  <c r="K121" i="34"/>
  <c r="K121" i="58" s="1"/>
  <c r="H121" i="34"/>
  <c r="H121" i="58" s="1"/>
  <c r="E121" i="34"/>
  <c r="N120"/>
  <c r="N120" i="58" s="1"/>
  <c r="K120" i="34"/>
  <c r="K120" i="58" s="1"/>
  <c r="H120" i="34"/>
  <c r="H120" i="58" s="1"/>
  <c r="E120" i="34"/>
  <c r="N119"/>
  <c r="N119" i="58" s="1"/>
  <c r="K119" i="34"/>
  <c r="K119" i="58" s="1"/>
  <c r="H119" i="34"/>
  <c r="H119" i="58" s="1"/>
  <c r="E119" i="34"/>
  <c r="N118"/>
  <c r="N118" i="58" s="1"/>
  <c r="K118" i="34"/>
  <c r="K118" i="58" s="1"/>
  <c r="H118" i="34"/>
  <c r="H118" i="58" s="1"/>
  <c r="E118" i="34"/>
  <c r="N117"/>
  <c r="N117" i="58" s="1"/>
  <c r="K117" i="34"/>
  <c r="K117" i="58" s="1"/>
  <c r="H117" i="34"/>
  <c r="H117" i="58" s="1"/>
  <c r="E117" i="34"/>
  <c r="N116"/>
  <c r="K116"/>
  <c r="H116"/>
  <c r="E116"/>
  <c r="M217" i="31"/>
  <c r="L217"/>
  <c r="J217"/>
  <c r="I217"/>
  <c r="G217"/>
  <c r="F217"/>
  <c r="D217"/>
  <c r="C217"/>
  <c r="N216"/>
  <c r="O216" s="1"/>
  <c r="K216"/>
  <c r="H216"/>
  <c r="E216"/>
  <c r="N215"/>
  <c r="O215" s="1"/>
  <c r="K215"/>
  <c r="H215"/>
  <c r="E215"/>
  <c r="N214"/>
  <c r="O214" s="1"/>
  <c r="K214"/>
  <c r="H214"/>
  <c r="E214"/>
  <c r="N213"/>
  <c r="O213" s="1"/>
  <c r="K213"/>
  <c r="H213"/>
  <c r="E213"/>
  <c r="N212"/>
  <c r="O212" s="1"/>
  <c r="K212"/>
  <c r="H212"/>
  <c r="E212"/>
  <c r="N211"/>
  <c r="O211" s="1"/>
  <c r="K211"/>
  <c r="H211"/>
  <c r="E211"/>
  <c r="M209"/>
  <c r="L209"/>
  <c r="J209"/>
  <c r="I209"/>
  <c r="G209"/>
  <c r="F209"/>
  <c r="D209"/>
  <c r="C209"/>
  <c r="N208"/>
  <c r="O208" s="1"/>
  <c r="K208"/>
  <c r="H208"/>
  <c r="E208"/>
  <c r="N207"/>
  <c r="O207" s="1"/>
  <c r="K207"/>
  <c r="H207"/>
  <c r="E207"/>
  <c r="N206"/>
  <c r="O206" s="1"/>
  <c r="K206"/>
  <c r="H206"/>
  <c r="E206"/>
  <c r="N205"/>
  <c r="O205" s="1"/>
  <c r="K205"/>
  <c r="H205"/>
  <c r="E205"/>
  <c r="N204"/>
  <c r="O204" s="1"/>
  <c r="K204"/>
  <c r="H204"/>
  <c r="E204"/>
  <c r="N203"/>
  <c r="O203" s="1"/>
  <c r="K203"/>
  <c r="H203"/>
  <c r="E203"/>
  <c r="M201"/>
  <c r="L201"/>
  <c r="J201"/>
  <c r="I201"/>
  <c r="G201"/>
  <c r="F201"/>
  <c r="D201"/>
  <c r="C201"/>
  <c r="N200"/>
  <c r="O200" s="1"/>
  <c r="K200"/>
  <c r="H200"/>
  <c r="E200"/>
  <c r="N199"/>
  <c r="O199" s="1"/>
  <c r="K199"/>
  <c r="H199"/>
  <c r="E199"/>
  <c r="N198"/>
  <c r="O198" s="1"/>
  <c r="K198"/>
  <c r="H198"/>
  <c r="E198"/>
  <c r="N197"/>
  <c r="O197" s="1"/>
  <c r="K197"/>
  <c r="H197"/>
  <c r="E197"/>
  <c r="N196"/>
  <c r="O196" s="1"/>
  <c r="K196"/>
  <c r="H196"/>
  <c r="E196"/>
  <c r="N195"/>
  <c r="O195" s="1"/>
  <c r="K195"/>
  <c r="H195"/>
  <c r="E195"/>
  <c r="M193"/>
  <c r="L193"/>
  <c r="J193"/>
  <c r="I193"/>
  <c r="G193"/>
  <c r="F193"/>
  <c r="D193"/>
  <c r="C193"/>
  <c r="N192"/>
  <c r="O192" s="1"/>
  <c r="K192"/>
  <c r="H192"/>
  <c r="E192"/>
  <c r="N191"/>
  <c r="O191" s="1"/>
  <c r="K191"/>
  <c r="H191"/>
  <c r="E191"/>
  <c r="N190"/>
  <c r="O190" s="1"/>
  <c r="K190"/>
  <c r="H190"/>
  <c r="E190"/>
  <c r="N189"/>
  <c r="O189" s="1"/>
  <c r="K189"/>
  <c r="H189"/>
  <c r="E189"/>
  <c r="N188"/>
  <c r="O188" s="1"/>
  <c r="K188"/>
  <c r="H188"/>
  <c r="E188"/>
  <c r="N187"/>
  <c r="O187" s="1"/>
  <c r="K187"/>
  <c r="H187"/>
  <c r="E187"/>
  <c r="M174"/>
  <c r="L174"/>
  <c r="J174"/>
  <c r="I174"/>
  <c r="G174"/>
  <c r="F174"/>
  <c r="D174"/>
  <c r="C174"/>
  <c r="N163"/>
  <c r="K163"/>
  <c r="H163"/>
  <c r="E163"/>
  <c r="N161"/>
  <c r="K161"/>
  <c r="H161"/>
  <c r="F158" i="34" s="1"/>
  <c r="E161" i="31"/>
  <c r="M159"/>
  <c r="L159"/>
  <c r="J159"/>
  <c r="J218" s="1"/>
  <c r="I159"/>
  <c r="I218" s="1"/>
  <c r="G159"/>
  <c r="F159"/>
  <c r="D159"/>
  <c r="D218" s="1"/>
  <c r="C159"/>
  <c r="C218" s="1"/>
  <c r="N158"/>
  <c r="K158"/>
  <c r="H158"/>
  <c r="E158"/>
  <c r="M141"/>
  <c r="M142" s="1"/>
  <c r="M218" s="1"/>
  <c r="L141"/>
  <c r="L142" s="1"/>
  <c r="G142"/>
  <c r="F142"/>
  <c r="N131"/>
  <c r="K131"/>
  <c r="H131"/>
  <c r="E131"/>
  <c r="N130"/>
  <c r="K130"/>
  <c r="H130"/>
  <c r="E130"/>
  <c r="N129"/>
  <c r="K129"/>
  <c r="H129"/>
  <c r="E129"/>
  <c r="N128"/>
  <c r="K128"/>
  <c r="H128"/>
  <c r="E128"/>
  <c r="C124" i="34" s="1"/>
  <c r="C124" i="58" s="1"/>
  <c r="E109" i="31"/>
  <c r="H109"/>
  <c r="K109"/>
  <c r="N109"/>
  <c r="O109" s="1"/>
  <c r="M106" i="34"/>
  <c r="L106"/>
  <c r="J106"/>
  <c r="I106"/>
  <c r="G106"/>
  <c r="F106"/>
  <c r="D106"/>
  <c r="C106"/>
  <c r="N105"/>
  <c r="O105" s="1"/>
  <c r="K105"/>
  <c r="H105"/>
  <c r="E105"/>
  <c r="N104"/>
  <c r="O104" s="1"/>
  <c r="K104"/>
  <c r="H104"/>
  <c r="E104"/>
  <c r="N103"/>
  <c r="O103" s="1"/>
  <c r="K103"/>
  <c r="H103"/>
  <c r="E103"/>
  <c r="N102"/>
  <c r="O102" s="1"/>
  <c r="K102"/>
  <c r="H102"/>
  <c r="E102"/>
  <c r="N101"/>
  <c r="O101" s="1"/>
  <c r="K101"/>
  <c r="H101"/>
  <c r="E101"/>
  <c r="N100"/>
  <c r="O100" s="1"/>
  <c r="K100"/>
  <c r="H100"/>
  <c r="E100"/>
  <c r="M98"/>
  <c r="L98"/>
  <c r="J98"/>
  <c r="I98"/>
  <c r="G98"/>
  <c r="F98"/>
  <c r="D98"/>
  <c r="C98"/>
  <c r="N97"/>
  <c r="O97" s="1"/>
  <c r="K97"/>
  <c r="H97"/>
  <c r="E97"/>
  <c r="N96"/>
  <c r="O96" s="1"/>
  <c r="K96"/>
  <c r="H96"/>
  <c r="E96"/>
  <c r="N95"/>
  <c r="O95" s="1"/>
  <c r="K95"/>
  <c r="H95"/>
  <c r="E95"/>
  <c r="N94"/>
  <c r="O94" s="1"/>
  <c r="K94"/>
  <c r="H94"/>
  <c r="E94"/>
  <c r="N93"/>
  <c r="O93" s="1"/>
  <c r="K93"/>
  <c r="H93"/>
  <c r="E93"/>
  <c r="N92"/>
  <c r="O92" s="1"/>
  <c r="K92"/>
  <c r="H92"/>
  <c r="E92"/>
  <c r="M90"/>
  <c r="L90"/>
  <c r="J90"/>
  <c r="I90"/>
  <c r="G90"/>
  <c r="F90"/>
  <c r="D90"/>
  <c r="C90"/>
  <c r="N89"/>
  <c r="O89" s="1"/>
  <c r="K89"/>
  <c r="H89"/>
  <c r="E89"/>
  <c r="N88"/>
  <c r="O88" s="1"/>
  <c r="K88"/>
  <c r="H88"/>
  <c r="E88"/>
  <c r="N87"/>
  <c r="O87" s="1"/>
  <c r="K87"/>
  <c r="H87"/>
  <c r="E87"/>
  <c r="N86"/>
  <c r="O86" s="1"/>
  <c r="K86"/>
  <c r="H86"/>
  <c r="E86"/>
  <c r="N85"/>
  <c r="O85" s="1"/>
  <c r="K85"/>
  <c r="H85"/>
  <c r="E85"/>
  <c r="N84"/>
  <c r="O84" s="1"/>
  <c r="K84"/>
  <c r="H84"/>
  <c r="E84"/>
  <c r="M82"/>
  <c r="L82"/>
  <c r="J82"/>
  <c r="I82"/>
  <c r="G82"/>
  <c r="F82"/>
  <c r="D82"/>
  <c r="C82"/>
  <c r="N81"/>
  <c r="O81" s="1"/>
  <c r="K81"/>
  <c r="H81"/>
  <c r="E81"/>
  <c r="N80"/>
  <c r="O80" s="1"/>
  <c r="K80"/>
  <c r="H80"/>
  <c r="E80"/>
  <c r="N79"/>
  <c r="O79" s="1"/>
  <c r="K79"/>
  <c r="H79"/>
  <c r="E79"/>
  <c r="N78"/>
  <c r="O78" s="1"/>
  <c r="K78"/>
  <c r="H78"/>
  <c r="E78"/>
  <c r="N77"/>
  <c r="O77" s="1"/>
  <c r="K77"/>
  <c r="H77"/>
  <c r="E77"/>
  <c r="N76"/>
  <c r="O76" s="1"/>
  <c r="K76"/>
  <c r="H76"/>
  <c r="E76"/>
  <c r="K49"/>
  <c r="K49" i="58" s="1"/>
  <c r="H49" i="34"/>
  <c r="H49" i="58" s="1"/>
  <c r="E49" i="34"/>
  <c r="E49" i="58" s="1"/>
  <c r="E39" i="34"/>
  <c r="E39" i="58" s="1"/>
  <c r="H38" i="34"/>
  <c r="H38" i="58" s="1"/>
  <c r="E38" i="34"/>
  <c r="E38" i="58" s="1"/>
  <c r="E37" i="34"/>
  <c r="E37" i="58" s="1"/>
  <c r="E35" i="34"/>
  <c r="E15"/>
  <c r="E15" i="58" s="1"/>
  <c r="H14" i="34"/>
  <c r="E14"/>
  <c r="E14" i="58" s="1"/>
  <c r="E13" i="34"/>
  <c r="E13" i="58" s="1"/>
  <c r="H11" i="34"/>
  <c r="H11" i="58" s="1"/>
  <c r="N101" i="31"/>
  <c r="O101" s="1"/>
  <c r="K101"/>
  <c r="H101"/>
  <c r="E101"/>
  <c r="N93"/>
  <c r="O93" s="1"/>
  <c r="K93"/>
  <c r="H93"/>
  <c r="E93"/>
  <c r="N49"/>
  <c r="K49"/>
  <c r="K49" i="57" s="1"/>
  <c r="H49" i="31"/>
  <c r="H49" i="57" s="1"/>
  <c r="E49" i="31"/>
  <c r="E15"/>
  <c r="H15"/>
  <c r="K15"/>
  <c r="K15" i="57" s="1"/>
  <c r="N15" i="31"/>
  <c r="M110"/>
  <c r="L110"/>
  <c r="J110"/>
  <c r="I110"/>
  <c r="G110"/>
  <c r="F110"/>
  <c r="D110"/>
  <c r="C110"/>
  <c r="M102"/>
  <c r="L102"/>
  <c r="J102"/>
  <c r="I102"/>
  <c r="G102"/>
  <c r="F102"/>
  <c r="D102"/>
  <c r="C102"/>
  <c r="M94"/>
  <c r="L94"/>
  <c r="J94"/>
  <c r="I94"/>
  <c r="G94"/>
  <c r="F94"/>
  <c r="D94"/>
  <c r="C94"/>
  <c r="M66"/>
  <c r="L66"/>
  <c r="J66"/>
  <c r="I66"/>
  <c r="G66"/>
  <c r="F66"/>
  <c r="D66"/>
  <c r="C66"/>
  <c r="M50"/>
  <c r="L50"/>
  <c r="J50"/>
  <c r="I50"/>
  <c r="G50"/>
  <c r="F50"/>
  <c r="D50"/>
  <c r="C50"/>
  <c r="N14"/>
  <c r="K14"/>
  <c r="K14" i="57" s="1"/>
  <c r="H14" i="31"/>
  <c r="H14" i="57" s="1"/>
  <c r="E14" i="31"/>
  <c r="N13"/>
  <c r="K13"/>
  <c r="H13"/>
  <c r="E13"/>
  <c r="Q13" s="1"/>
  <c r="N12"/>
  <c r="K12"/>
  <c r="H12"/>
  <c r="E12"/>
  <c r="N11"/>
  <c r="K11"/>
  <c r="K11" i="57" s="1"/>
  <c r="H11" i="31"/>
  <c r="H11" i="57" s="1"/>
  <c r="E11" i="31"/>
  <c r="C11" i="34" s="1"/>
  <c r="N10" i="31"/>
  <c r="K10"/>
  <c r="K10" i="57" s="1"/>
  <c r="H10" i="31"/>
  <c r="E10"/>
  <c r="N22"/>
  <c r="K22"/>
  <c r="H22"/>
  <c r="E22"/>
  <c r="Q22" s="1"/>
  <c r="N21"/>
  <c r="K21"/>
  <c r="H21"/>
  <c r="H21" i="57" s="1"/>
  <c r="E21" i="31"/>
  <c r="Q21" s="1"/>
  <c r="N20"/>
  <c r="K20"/>
  <c r="H20"/>
  <c r="E20"/>
  <c r="N19"/>
  <c r="K19"/>
  <c r="H19"/>
  <c r="H19" i="57" s="1"/>
  <c r="E19" i="31"/>
  <c r="Q19" s="1"/>
  <c r="N18"/>
  <c r="K18"/>
  <c r="H18"/>
  <c r="E18"/>
  <c r="Q18" s="1"/>
  <c r="N39"/>
  <c r="K39"/>
  <c r="H39"/>
  <c r="E39"/>
  <c r="N38"/>
  <c r="K38"/>
  <c r="H38"/>
  <c r="H38" i="57" s="1"/>
  <c r="E38" i="31"/>
  <c r="N37"/>
  <c r="K37"/>
  <c r="H37"/>
  <c r="E37"/>
  <c r="N36"/>
  <c r="K36"/>
  <c r="H36"/>
  <c r="E36"/>
  <c r="Q36" s="1"/>
  <c r="N35"/>
  <c r="K35"/>
  <c r="H35"/>
  <c r="E35"/>
  <c r="N48"/>
  <c r="K48"/>
  <c r="H48"/>
  <c r="E48"/>
  <c r="Q48" s="1"/>
  <c r="N47"/>
  <c r="K47"/>
  <c r="H47"/>
  <c r="E47"/>
  <c r="Q47" s="1"/>
  <c r="N46"/>
  <c r="K46"/>
  <c r="H46"/>
  <c r="E46"/>
  <c r="Q46" s="1"/>
  <c r="N45"/>
  <c r="K45"/>
  <c r="H45"/>
  <c r="E45"/>
  <c r="N44"/>
  <c r="K44"/>
  <c r="H44"/>
  <c r="E44"/>
  <c r="N55"/>
  <c r="K55"/>
  <c r="H55"/>
  <c r="E55"/>
  <c r="Q55" s="1"/>
  <c r="N54"/>
  <c r="N54" i="57" s="1"/>
  <c r="K54" i="31"/>
  <c r="H54"/>
  <c r="H54" i="57" s="1"/>
  <c r="E54" i="31"/>
  <c r="E54" i="57" s="1"/>
  <c r="N52" i="31"/>
  <c r="K52"/>
  <c r="H52"/>
  <c r="E52"/>
  <c r="N108"/>
  <c r="O108" s="1"/>
  <c r="K108"/>
  <c r="H108"/>
  <c r="E108"/>
  <c r="N107"/>
  <c r="O107" s="1"/>
  <c r="K107"/>
  <c r="H107"/>
  <c r="E107"/>
  <c r="N106"/>
  <c r="O106" s="1"/>
  <c r="K106"/>
  <c r="H106"/>
  <c r="E106"/>
  <c r="N105"/>
  <c r="O105" s="1"/>
  <c r="K105"/>
  <c r="H105"/>
  <c r="E105"/>
  <c r="N104"/>
  <c r="O104" s="1"/>
  <c r="K104"/>
  <c r="H104"/>
  <c r="E104"/>
  <c r="N100"/>
  <c r="O100" s="1"/>
  <c r="K100"/>
  <c r="H100"/>
  <c r="E100"/>
  <c r="N99"/>
  <c r="O99" s="1"/>
  <c r="K99"/>
  <c r="H99"/>
  <c r="E99"/>
  <c r="N98"/>
  <c r="O98" s="1"/>
  <c r="K98"/>
  <c r="H98"/>
  <c r="E98"/>
  <c r="N97"/>
  <c r="O97" s="1"/>
  <c r="K97"/>
  <c r="H97"/>
  <c r="E97"/>
  <c r="N96"/>
  <c r="O96" s="1"/>
  <c r="K96"/>
  <c r="H96"/>
  <c r="E96"/>
  <c r="N92"/>
  <c r="O92" s="1"/>
  <c r="N91"/>
  <c r="O91" s="1"/>
  <c r="N90"/>
  <c r="O90" s="1"/>
  <c r="N89"/>
  <c r="O89" s="1"/>
  <c r="N88"/>
  <c r="O88" s="1"/>
  <c r="K92"/>
  <c r="K91"/>
  <c r="K90"/>
  <c r="K89"/>
  <c r="K88"/>
  <c r="H92"/>
  <c r="H91"/>
  <c r="H90"/>
  <c r="H89"/>
  <c r="H88"/>
  <c r="E92"/>
  <c r="E91"/>
  <c r="E90"/>
  <c r="E89"/>
  <c r="E88"/>
  <c r="I214" i="34" l="1"/>
  <c r="Q10" i="31"/>
  <c r="C10" i="34"/>
  <c r="O161" i="31"/>
  <c r="C159" i="34"/>
  <c r="C159" i="58" s="1"/>
  <c r="C170" s="1"/>
  <c r="E170" s="1"/>
  <c r="O163" i="31"/>
  <c r="G214" i="34"/>
  <c r="M214"/>
  <c r="H158"/>
  <c r="F158" i="58"/>
  <c r="C45" i="34"/>
  <c r="E45" s="1"/>
  <c r="Q45" i="31"/>
  <c r="E45" i="57"/>
  <c r="C20" i="34"/>
  <c r="C20" i="58" s="1"/>
  <c r="Q20" i="31"/>
  <c r="E20" i="57"/>
  <c r="N122" i="34"/>
  <c r="N116" i="58"/>
  <c r="N122" s="1"/>
  <c r="N124"/>
  <c r="N139" s="1"/>
  <c r="N139" i="34"/>
  <c r="N148"/>
  <c r="N141" i="58"/>
  <c r="N148" s="1"/>
  <c r="Q38" i="31"/>
  <c r="E38" i="57"/>
  <c r="C12" i="34"/>
  <c r="Q12" i="31"/>
  <c r="E12" i="57"/>
  <c r="H52"/>
  <c r="F52" i="34"/>
  <c r="H44" i="57"/>
  <c r="F44" i="34"/>
  <c r="H45" i="57"/>
  <c r="F45" i="34"/>
  <c r="H35" i="57"/>
  <c r="F35" i="34"/>
  <c r="H39" i="57"/>
  <c r="F39" i="34"/>
  <c r="F20"/>
  <c r="F20" i="58" s="1"/>
  <c r="H20" i="57"/>
  <c r="F12" i="34"/>
  <c r="G12" s="1"/>
  <c r="G12" i="58" s="1"/>
  <c r="H12" i="57"/>
  <c r="F13" i="34"/>
  <c r="G13" s="1"/>
  <c r="G13" i="58" s="1"/>
  <c r="H13" i="57"/>
  <c r="O116" i="34"/>
  <c r="O116" i="58" s="1"/>
  <c r="E116"/>
  <c r="O117" i="34"/>
  <c r="O117" i="58" s="1"/>
  <c r="O119" i="34"/>
  <c r="O119" i="58" s="1"/>
  <c r="E119"/>
  <c r="O120" i="34"/>
  <c r="O120" i="58" s="1"/>
  <c r="E120"/>
  <c r="O121" i="34"/>
  <c r="O121" i="58" s="1"/>
  <c r="E121"/>
  <c r="O125" i="34"/>
  <c r="O125" i="58" s="1"/>
  <c r="E125"/>
  <c r="O126" i="34"/>
  <c r="O126" i="58" s="1"/>
  <c r="E126"/>
  <c r="O127" i="34"/>
  <c r="O127" i="58" s="1"/>
  <c r="E127"/>
  <c r="O141" i="34"/>
  <c r="E141" i="58"/>
  <c r="E148" s="1"/>
  <c r="E148" i="34"/>
  <c r="O153"/>
  <c r="O153" i="58" s="1"/>
  <c r="E153"/>
  <c r="O154" i="34"/>
  <c r="O154" i="58" s="1"/>
  <c r="E154"/>
  <c r="O155" i="34"/>
  <c r="O155" i="58" s="1"/>
  <c r="E155"/>
  <c r="C52" i="34"/>
  <c r="C52" i="58" s="1"/>
  <c r="Q52" i="31"/>
  <c r="E52" i="57"/>
  <c r="Q35" i="31"/>
  <c r="E35" i="57"/>
  <c r="Q39" i="31"/>
  <c r="E39" i="57"/>
  <c r="Q14" i="31"/>
  <c r="E14" i="57"/>
  <c r="Q49" i="31"/>
  <c r="E49" i="57"/>
  <c r="I52" i="34"/>
  <c r="K52" i="57"/>
  <c r="K54"/>
  <c r="O54" s="1"/>
  <c r="I54" i="34"/>
  <c r="K44" i="57"/>
  <c r="I44" i="34"/>
  <c r="K45" i="57"/>
  <c r="I45" i="34"/>
  <c r="K47" i="57"/>
  <c r="I47" i="34"/>
  <c r="K35" i="57"/>
  <c r="I35" i="34"/>
  <c r="K36" i="57"/>
  <c r="I36" i="34"/>
  <c r="K39" i="57"/>
  <c r="I39" i="34"/>
  <c r="I19"/>
  <c r="K19" i="57"/>
  <c r="K20"/>
  <c r="I20" i="34"/>
  <c r="K21" i="57"/>
  <c r="I21" i="34"/>
  <c r="K22" i="57"/>
  <c r="I22" i="34"/>
  <c r="K13" i="57"/>
  <c r="I13" i="34"/>
  <c r="I13" i="58" s="1"/>
  <c r="F15" i="34"/>
  <c r="F15" i="58" s="1"/>
  <c r="H15" i="57"/>
  <c r="H116" i="58"/>
  <c r="H122" s="1"/>
  <c r="H122" i="34"/>
  <c r="H141" i="58"/>
  <c r="H148" s="1"/>
  <c r="H148" i="34"/>
  <c r="D214"/>
  <c r="C44"/>
  <c r="E44" s="1"/>
  <c r="Q44" i="31"/>
  <c r="E44" i="57"/>
  <c r="Q37" i="31"/>
  <c r="E37" i="57"/>
  <c r="Q11" i="31"/>
  <c r="E11" i="57"/>
  <c r="N15"/>
  <c r="L15" i="34"/>
  <c r="L15" i="58" s="1"/>
  <c r="L52" i="34"/>
  <c r="N52" i="57"/>
  <c r="L44" i="34"/>
  <c r="N44" i="57"/>
  <c r="N45"/>
  <c r="L45" i="34"/>
  <c r="N47" i="57"/>
  <c r="L47" i="34"/>
  <c r="N35" i="57"/>
  <c r="L35" i="34"/>
  <c r="N39" i="57"/>
  <c r="L39" i="34"/>
  <c r="N18" i="57"/>
  <c r="L18" i="34"/>
  <c r="N20" i="57"/>
  <c r="L20" i="34"/>
  <c r="L21"/>
  <c r="N21" i="57"/>
  <c r="N11"/>
  <c r="L11" i="34"/>
  <c r="L11" i="58" s="1"/>
  <c r="N13" i="57"/>
  <c r="L13" i="34"/>
  <c r="L13" i="58" s="1"/>
  <c r="L14" i="34"/>
  <c r="L14" i="58" s="1"/>
  <c r="N14" i="57"/>
  <c r="Q15" i="31"/>
  <c r="E15" i="57"/>
  <c r="N49"/>
  <c r="L49" i="34"/>
  <c r="K116" i="58"/>
  <c r="K122" s="1"/>
  <c r="K122" i="34"/>
  <c r="K139"/>
  <c r="K124" i="58"/>
  <c r="K139" s="1"/>
  <c r="K148" i="34"/>
  <c r="K141" i="58"/>
  <c r="K148" s="1"/>
  <c r="E118"/>
  <c r="O118" i="34"/>
  <c r="O118" i="58" s="1"/>
  <c r="E150"/>
  <c r="O150" i="34"/>
  <c r="O150" i="58" s="1"/>
  <c r="E151"/>
  <c r="O151" i="34"/>
  <c r="O151" i="58" s="1"/>
  <c r="E152"/>
  <c r="O152" i="34"/>
  <c r="O152" i="58" s="1"/>
  <c r="H14"/>
  <c r="N10" i="57"/>
  <c r="L10" i="34"/>
  <c r="L10" i="58" s="1"/>
  <c r="F10" i="34"/>
  <c r="F10" i="58" s="1"/>
  <c r="H10" i="57"/>
  <c r="E10" i="34"/>
  <c r="E10" i="57"/>
  <c r="N38"/>
  <c r="L38" i="34"/>
  <c r="K38" i="57"/>
  <c r="I38" i="34"/>
  <c r="H47" i="57"/>
  <c r="F47" i="34"/>
  <c r="C47"/>
  <c r="C47" i="58" s="1"/>
  <c r="E47" i="57"/>
  <c r="K18"/>
  <c r="I18" i="34"/>
  <c r="E124"/>
  <c r="F18"/>
  <c r="F18" i="58" s="1"/>
  <c r="H18" i="57"/>
  <c r="C18" i="34"/>
  <c r="E18" s="1"/>
  <c r="E18" i="57"/>
  <c r="E117" i="58"/>
  <c r="E122" i="34"/>
  <c r="C21"/>
  <c r="C21" i="58" s="1"/>
  <c r="E21" i="57"/>
  <c r="N12"/>
  <c r="L12" i="34"/>
  <c r="I12"/>
  <c r="I12" i="58" s="1"/>
  <c r="K12" i="57"/>
  <c r="L46" i="34"/>
  <c r="N46" i="57"/>
  <c r="I46" i="34"/>
  <c r="K46" i="57"/>
  <c r="H46"/>
  <c r="F46" i="34"/>
  <c r="C46"/>
  <c r="C46" i="58" s="1"/>
  <c r="E46" i="57"/>
  <c r="L37" i="34"/>
  <c r="N37" i="57"/>
  <c r="K37"/>
  <c r="I37" i="34"/>
  <c r="H37" i="57"/>
  <c r="F37" i="34"/>
  <c r="C54"/>
  <c r="C54" i="58" s="1"/>
  <c r="E55" i="57"/>
  <c r="L22" i="34"/>
  <c r="N22" i="57"/>
  <c r="F22" i="34"/>
  <c r="F22" i="58" s="1"/>
  <c r="H22" i="57"/>
  <c r="C22" i="34"/>
  <c r="E22" s="1"/>
  <c r="E22" i="57"/>
  <c r="N19"/>
  <c r="L19" i="34"/>
  <c r="C19"/>
  <c r="E19" s="1"/>
  <c r="E19" i="57"/>
  <c r="N48"/>
  <c r="L48" i="34"/>
  <c r="I48"/>
  <c r="K48" i="57"/>
  <c r="H48"/>
  <c r="F48" i="34"/>
  <c r="C48"/>
  <c r="E48" s="1"/>
  <c r="E48" i="57"/>
  <c r="G218" i="31"/>
  <c r="N55" i="57"/>
  <c r="L54" i="34"/>
  <c r="I55"/>
  <c r="K55" i="57"/>
  <c r="H55"/>
  <c r="F54" i="34"/>
  <c r="N36" i="57"/>
  <c r="L36" i="34"/>
  <c r="H36" i="57"/>
  <c r="F36" i="34"/>
  <c r="C36"/>
  <c r="C42" s="1"/>
  <c r="E36" i="57"/>
  <c r="E11" i="34"/>
  <c r="C11" i="58"/>
  <c r="E20" i="34"/>
  <c r="E35" i="58"/>
  <c r="M15" i="34"/>
  <c r="M15" i="58" s="1"/>
  <c r="F21" i="34"/>
  <c r="F21" i="58" s="1"/>
  <c r="F19" i="34"/>
  <c r="F19" i="58" s="1"/>
  <c r="I15" i="34"/>
  <c r="I15" i="58" s="1"/>
  <c r="J15" i="34"/>
  <c r="J15" i="58" s="1"/>
  <c r="J10" i="34"/>
  <c r="I11"/>
  <c r="J11"/>
  <c r="J11" i="58" s="1"/>
  <c r="J12" i="34"/>
  <c r="J12" i="58" s="1"/>
  <c r="J13" i="34"/>
  <c r="J13" i="58" s="1"/>
  <c r="I14" i="34"/>
  <c r="I14" i="58" s="1"/>
  <c r="J14" i="34"/>
  <c r="J14" i="58" s="1"/>
  <c r="N142" i="31"/>
  <c r="L218"/>
  <c r="M11" i="34"/>
  <c r="M11" i="58" s="1"/>
  <c r="M12" i="34"/>
  <c r="M12" i="58" s="1"/>
  <c r="M13" i="34"/>
  <c r="M13" i="58" s="1"/>
  <c r="M14" i="34"/>
  <c r="M14" i="58" s="1"/>
  <c r="N170" i="34"/>
  <c r="K170"/>
  <c r="D107"/>
  <c r="H142" i="31"/>
  <c r="F218"/>
  <c r="O52"/>
  <c r="O54"/>
  <c r="O55"/>
  <c r="O45"/>
  <c r="O46"/>
  <c r="O48"/>
  <c r="O36"/>
  <c r="O18"/>
  <c r="O19"/>
  <c r="O20"/>
  <c r="O21"/>
  <c r="O22"/>
  <c r="O10"/>
  <c r="M10" i="34" s="1"/>
  <c r="O11" i="31"/>
  <c r="O12"/>
  <c r="O14"/>
  <c r="O49"/>
  <c r="O49" i="57" s="1"/>
  <c r="H141" i="31"/>
  <c r="F137" i="34" s="1"/>
  <c r="O129" i="31"/>
  <c r="O130"/>
  <c r="O131"/>
  <c r="O158"/>
  <c r="O38"/>
  <c r="J111"/>
  <c r="F111"/>
  <c r="L111"/>
  <c r="G111"/>
  <c r="O47"/>
  <c r="O44"/>
  <c r="O15"/>
  <c r="K141"/>
  <c r="O128"/>
  <c r="O37"/>
  <c r="O39"/>
  <c r="O35"/>
  <c r="O13"/>
  <c r="E141"/>
  <c r="C137" i="34" s="1"/>
  <c r="M111" i="31"/>
  <c r="I111"/>
  <c r="C111"/>
  <c r="N141"/>
  <c r="E193"/>
  <c r="H193"/>
  <c r="K193"/>
  <c r="N193"/>
  <c r="E159"/>
  <c r="H159"/>
  <c r="K159"/>
  <c r="E82" i="34"/>
  <c r="H82"/>
  <c r="K82"/>
  <c r="N82"/>
  <c r="E90"/>
  <c r="H90"/>
  <c r="K90"/>
  <c r="E98"/>
  <c r="H98"/>
  <c r="K98"/>
  <c r="E106"/>
  <c r="H106"/>
  <c r="K106"/>
  <c r="N106"/>
  <c r="E197"/>
  <c r="H197"/>
  <c r="K197"/>
  <c r="N197"/>
  <c r="E205"/>
  <c r="H205"/>
  <c r="K205"/>
  <c r="N205"/>
  <c r="E213"/>
  <c r="H213"/>
  <c r="K213"/>
  <c r="N90"/>
  <c r="N213"/>
  <c r="N98"/>
  <c r="E156"/>
  <c r="H156"/>
  <c r="K156"/>
  <c r="N156"/>
  <c r="E189"/>
  <c r="H189"/>
  <c r="K189"/>
  <c r="N189"/>
  <c r="N159" i="31"/>
  <c r="E209"/>
  <c r="H209"/>
  <c r="K209"/>
  <c r="N209"/>
  <c r="H126"/>
  <c r="N126"/>
  <c r="E151"/>
  <c r="H151"/>
  <c r="K151"/>
  <c r="N151"/>
  <c r="E174"/>
  <c r="H174"/>
  <c r="F169" i="34" s="1"/>
  <c r="K174" i="31"/>
  <c r="N174"/>
  <c r="E201"/>
  <c r="H201"/>
  <c r="K201"/>
  <c r="N201"/>
  <c r="E217"/>
  <c r="H217"/>
  <c r="K217"/>
  <c r="N217"/>
  <c r="E126"/>
  <c r="K126"/>
  <c r="N16"/>
  <c r="E16"/>
  <c r="E33"/>
  <c r="K33"/>
  <c r="N33"/>
  <c r="E42"/>
  <c r="H42"/>
  <c r="K42"/>
  <c r="N42"/>
  <c r="E50"/>
  <c r="H50"/>
  <c r="K50"/>
  <c r="N50"/>
  <c r="E66"/>
  <c r="H66"/>
  <c r="K66"/>
  <c r="N66"/>
  <c r="E94"/>
  <c r="H94"/>
  <c r="K94"/>
  <c r="N94"/>
  <c r="E102"/>
  <c r="H102"/>
  <c r="K102"/>
  <c r="N102"/>
  <c r="H16"/>
  <c r="E110"/>
  <c r="H110"/>
  <c r="K110"/>
  <c r="N110"/>
  <c r="K16"/>
  <c r="H33"/>
  <c r="C16" i="34" l="1"/>
  <c r="G18"/>
  <c r="G18" i="58" s="1"/>
  <c r="G15" i="34"/>
  <c r="G15" i="58" s="1"/>
  <c r="C44"/>
  <c r="E159" i="34"/>
  <c r="O159" s="1"/>
  <c r="O159" i="58" s="1"/>
  <c r="E12" i="34"/>
  <c r="E12" i="58" s="1"/>
  <c r="C170" i="34"/>
  <c r="E170" s="1"/>
  <c r="C12" i="58"/>
  <c r="Q74" i="31"/>
  <c r="G20" i="34"/>
  <c r="H20" s="1"/>
  <c r="H20" i="58" s="1"/>
  <c r="C45"/>
  <c r="O142" i="31"/>
  <c r="F13" i="58"/>
  <c r="O21" i="57"/>
  <c r="N214" i="34"/>
  <c r="O158"/>
  <c r="O158" i="58" s="1"/>
  <c r="H158"/>
  <c r="O14" i="57"/>
  <c r="O35"/>
  <c r="O45"/>
  <c r="I21" i="58"/>
  <c r="K21" i="34"/>
  <c r="K21" i="58" s="1"/>
  <c r="I47"/>
  <c r="K47" i="34"/>
  <c r="K47" i="58" s="1"/>
  <c r="O122" i="34"/>
  <c r="O15" i="57"/>
  <c r="L18" i="58"/>
  <c r="N18" i="34"/>
  <c r="N18" i="58" s="1"/>
  <c r="L35"/>
  <c r="N35" i="34"/>
  <c r="N35" i="58" s="1"/>
  <c r="L45"/>
  <c r="N45" i="34"/>
  <c r="N45" i="58" s="1"/>
  <c r="O11" i="57"/>
  <c r="I19" i="58"/>
  <c r="K19" i="34"/>
  <c r="K19" i="58" s="1"/>
  <c r="I52"/>
  <c r="K52" i="34"/>
  <c r="K52" i="58" s="1"/>
  <c r="O13" i="57"/>
  <c r="G35" i="34"/>
  <c r="G35" i="58" s="1"/>
  <c r="F35"/>
  <c r="G44" i="34"/>
  <c r="G44" i="58" s="1"/>
  <c r="F44"/>
  <c r="O20" i="57"/>
  <c r="L44" i="58"/>
  <c r="N44" i="34"/>
  <c r="N44" i="58" s="1"/>
  <c r="I36"/>
  <c r="K36" i="34"/>
  <c r="K36" i="58" s="1"/>
  <c r="I44"/>
  <c r="K44" i="34"/>
  <c r="K44" i="58" s="1"/>
  <c r="L219" i="31"/>
  <c r="E52" i="34"/>
  <c r="E52" i="58" s="1"/>
  <c r="F12"/>
  <c r="E122"/>
  <c r="O122" s="1"/>
  <c r="F16" i="34"/>
  <c r="K214" i="58"/>
  <c r="L21"/>
  <c r="N21" i="34"/>
  <c r="N21" i="58" s="1"/>
  <c r="L52"/>
  <c r="N52" i="34"/>
  <c r="N52" i="58" s="1"/>
  <c r="O44" i="57"/>
  <c r="I22" i="58"/>
  <c r="K22" i="34"/>
  <c r="K22" i="58" s="1"/>
  <c r="I20"/>
  <c r="K20" i="34"/>
  <c r="K20" i="58" s="1"/>
  <c r="I39"/>
  <c r="K39" i="34"/>
  <c r="K39" i="58" s="1"/>
  <c r="I35"/>
  <c r="K35" i="34"/>
  <c r="K35" i="58" s="1"/>
  <c r="I45"/>
  <c r="K45" i="34"/>
  <c r="K45" i="58" s="1"/>
  <c r="I54"/>
  <c r="K54" i="34"/>
  <c r="K54" i="58" s="1"/>
  <c r="O39" i="57"/>
  <c r="O52"/>
  <c r="O141" i="58"/>
  <c r="O148" s="1"/>
  <c r="O148" i="34"/>
  <c r="E159" i="58"/>
  <c r="C137"/>
  <c r="C139" s="1"/>
  <c r="C214" s="1"/>
  <c r="E137" i="34"/>
  <c r="E137" i="58" s="1"/>
  <c r="C139" i="34"/>
  <c r="L49" i="58"/>
  <c r="N49" i="34"/>
  <c r="L20" i="58"/>
  <c r="N20" i="34"/>
  <c r="N20" i="58" s="1"/>
  <c r="L39"/>
  <c r="N39" i="34"/>
  <c r="N39" i="58" s="1"/>
  <c r="L47"/>
  <c r="N47" i="34"/>
  <c r="N47" i="58" s="1"/>
  <c r="G39" i="34"/>
  <c r="G39" i="58" s="1"/>
  <c r="F39"/>
  <c r="G45" i="34"/>
  <c r="G45" i="58" s="1"/>
  <c r="F45"/>
  <c r="G52" i="34"/>
  <c r="G52" i="58" s="1"/>
  <c r="F52"/>
  <c r="N214"/>
  <c r="E124"/>
  <c r="O124" i="34"/>
  <c r="O124" i="58" s="1"/>
  <c r="E20"/>
  <c r="E11"/>
  <c r="E45"/>
  <c r="E48"/>
  <c r="E19"/>
  <c r="E22"/>
  <c r="O156" i="34"/>
  <c r="O10" i="57"/>
  <c r="G10" i="34"/>
  <c r="G10" i="58" s="1"/>
  <c r="G16" s="1"/>
  <c r="C10"/>
  <c r="C16" s="1"/>
  <c r="L38"/>
  <c r="N38" i="34"/>
  <c r="O38" i="57"/>
  <c r="I38" i="58"/>
  <c r="K38" i="34"/>
  <c r="G47"/>
  <c r="G47" i="58" s="1"/>
  <c r="F47"/>
  <c r="O47" i="57"/>
  <c r="E47" i="34"/>
  <c r="I18" i="58"/>
  <c r="I33" i="34"/>
  <c r="K18"/>
  <c r="O18" i="57"/>
  <c r="C18" i="58"/>
  <c r="H12" i="34"/>
  <c r="H12" i="58" s="1"/>
  <c r="F137"/>
  <c r="F139" s="1"/>
  <c r="H137" i="34"/>
  <c r="F139"/>
  <c r="F169" i="58"/>
  <c r="F170" s="1"/>
  <c r="H169" i="34"/>
  <c r="F170"/>
  <c r="H13"/>
  <c r="O22" i="57"/>
  <c r="E46" i="34"/>
  <c r="G22"/>
  <c r="H22" s="1"/>
  <c r="H22" i="58" s="1"/>
  <c r="C33" i="34"/>
  <c r="E21"/>
  <c r="L12" i="58"/>
  <c r="L16" s="1"/>
  <c r="L16" i="34"/>
  <c r="O12" i="57"/>
  <c r="L46" i="58"/>
  <c r="N46" i="34"/>
  <c r="I46" i="58"/>
  <c r="K46" i="34"/>
  <c r="K46" i="58" s="1"/>
  <c r="G46" i="34"/>
  <c r="G46" i="58" s="1"/>
  <c r="F46"/>
  <c r="O46" i="57"/>
  <c r="L37" i="58"/>
  <c r="N37" i="34"/>
  <c r="I37" i="58"/>
  <c r="I42" i="34"/>
  <c r="K37"/>
  <c r="O37" i="57"/>
  <c r="G37" i="34"/>
  <c r="G37" i="58" s="1"/>
  <c r="F37"/>
  <c r="E54" i="34"/>
  <c r="C64"/>
  <c r="O55" i="57"/>
  <c r="L22" i="58"/>
  <c r="N22" i="34"/>
  <c r="C22" i="58"/>
  <c r="L19"/>
  <c r="L33" i="34"/>
  <c r="N19"/>
  <c r="O19" i="57"/>
  <c r="C19" i="58"/>
  <c r="L48"/>
  <c r="L50" i="34"/>
  <c r="N48"/>
  <c r="I48" i="58"/>
  <c r="I50" i="34"/>
  <c r="K48"/>
  <c r="G48"/>
  <c r="F48" i="58"/>
  <c r="F50" i="34"/>
  <c r="O48" i="57"/>
  <c r="C50" i="34"/>
  <c r="C48" i="58"/>
  <c r="L54"/>
  <c r="L64" i="34"/>
  <c r="N54"/>
  <c r="I55" i="58"/>
  <c r="I64" i="34"/>
  <c r="K55"/>
  <c r="O55" s="1"/>
  <c r="O55" i="58" s="1"/>
  <c r="G54" i="34"/>
  <c r="F64"/>
  <c r="F54" i="58"/>
  <c r="L36"/>
  <c r="L42" i="34"/>
  <c r="N36"/>
  <c r="G36"/>
  <c r="F42"/>
  <c r="F36" i="58"/>
  <c r="O36" i="57"/>
  <c r="E36" i="34"/>
  <c r="C36" i="58"/>
  <c r="C42" s="1"/>
  <c r="E44"/>
  <c r="E10"/>
  <c r="F33" i="34"/>
  <c r="F33" i="58"/>
  <c r="M10"/>
  <c r="M16" s="1"/>
  <c r="M107" s="1"/>
  <c r="M16" i="34"/>
  <c r="J10" i="58"/>
  <c r="J16" s="1"/>
  <c r="J107" s="1"/>
  <c r="J16" i="34"/>
  <c r="J107" s="1"/>
  <c r="J215" s="1"/>
  <c r="C64" i="58"/>
  <c r="E18"/>
  <c r="I11"/>
  <c r="I16" s="1"/>
  <c r="I16" i="34"/>
  <c r="K13"/>
  <c r="K13" i="58" s="1"/>
  <c r="K11" i="34"/>
  <c r="K11" i="58" s="1"/>
  <c r="N13" i="34"/>
  <c r="N11"/>
  <c r="K15"/>
  <c r="K15" i="58" s="1"/>
  <c r="N14" i="34"/>
  <c r="N12"/>
  <c r="N10"/>
  <c r="N10" i="58" s="1"/>
  <c r="G19" i="34"/>
  <c r="K14"/>
  <c r="K12"/>
  <c r="K12" i="58" s="1"/>
  <c r="K10" i="34"/>
  <c r="G21"/>
  <c r="N15"/>
  <c r="K214"/>
  <c r="O98"/>
  <c r="D215"/>
  <c r="O213"/>
  <c r="O90"/>
  <c r="M219" i="31"/>
  <c r="N218"/>
  <c r="F219"/>
  <c r="J219"/>
  <c r="G219"/>
  <c r="K218"/>
  <c r="I219"/>
  <c r="O141"/>
  <c r="H218"/>
  <c r="E218"/>
  <c r="C219"/>
  <c r="K111"/>
  <c r="H111"/>
  <c r="N111"/>
  <c r="O193"/>
  <c r="O16"/>
  <c r="O159"/>
  <c r="O205" i="34"/>
  <c r="O197"/>
  <c r="O106"/>
  <c r="O82"/>
  <c r="O189"/>
  <c r="O209" i="31"/>
  <c r="O217"/>
  <c r="O201"/>
  <c r="O174"/>
  <c r="O151"/>
  <c r="O126"/>
  <c r="O102"/>
  <c r="O94"/>
  <c r="O66"/>
  <c r="O50"/>
  <c r="O42"/>
  <c r="O33"/>
  <c r="O110"/>
  <c r="O137" i="34" l="1"/>
  <c r="O137" i="58" s="1"/>
  <c r="E139" i="34"/>
  <c r="E214" s="1"/>
  <c r="E16"/>
  <c r="L64" i="58"/>
  <c r="G20"/>
  <c r="H18" i="34"/>
  <c r="H18" i="58" s="1"/>
  <c r="I64"/>
  <c r="C50"/>
  <c r="I42"/>
  <c r="H10" i="34"/>
  <c r="H10" i="58" s="1"/>
  <c r="F64"/>
  <c r="C214" i="34"/>
  <c r="G16"/>
  <c r="F16" i="58"/>
  <c r="H15" i="34"/>
  <c r="O15" s="1"/>
  <c r="O15" i="58" s="1"/>
  <c r="E139"/>
  <c r="E214" s="1"/>
  <c r="H52" i="34"/>
  <c r="H52" i="58" s="1"/>
  <c r="I33"/>
  <c r="E16"/>
  <c r="H45" i="34"/>
  <c r="H44"/>
  <c r="H44" i="58" s="1"/>
  <c r="O20" i="34"/>
  <c r="O20" i="58" s="1"/>
  <c r="H35" i="34"/>
  <c r="O35" s="1"/>
  <c r="O35" i="58" s="1"/>
  <c r="H39" i="34"/>
  <c r="O49"/>
  <c r="O49" i="58" s="1"/>
  <c r="N49"/>
  <c r="E54"/>
  <c r="E64" s="1"/>
  <c r="E21"/>
  <c r="E33" s="1"/>
  <c r="H13"/>
  <c r="O13" i="34"/>
  <c r="O13" i="58" s="1"/>
  <c r="O22" i="34"/>
  <c r="O22" i="58" s="1"/>
  <c r="O11" i="34"/>
  <c r="O11" i="58" s="1"/>
  <c r="O12" i="34"/>
  <c r="O12" i="58" s="1"/>
  <c r="K14"/>
  <c r="O14" i="34"/>
  <c r="O14" i="58" s="1"/>
  <c r="E46"/>
  <c r="E36"/>
  <c r="E42" s="1"/>
  <c r="H169"/>
  <c r="O169" i="34"/>
  <c r="O169" i="58" s="1"/>
  <c r="E47"/>
  <c r="K38"/>
  <c r="O38" i="34"/>
  <c r="O38" i="58" s="1"/>
  <c r="N38"/>
  <c r="L42"/>
  <c r="H47" i="34"/>
  <c r="H47" i="58" s="1"/>
  <c r="K33" i="34"/>
  <c r="K18" i="58"/>
  <c r="K33" s="1"/>
  <c r="G22"/>
  <c r="H137"/>
  <c r="H139" s="1"/>
  <c r="H139" i="34"/>
  <c r="H170" i="58"/>
  <c r="F214"/>
  <c r="H170" i="34"/>
  <c r="F214"/>
  <c r="M215" i="58"/>
  <c r="F42"/>
  <c r="J215"/>
  <c r="E50" i="34"/>
  <c r="L33" i="58"/>
  <c r="C33"/>
  <c r="E33" i="34"/>
  <c r="L50" i="58"/>
  <c r="N46"/>
  <c r="I50"/>
  <c r="F50"/>
  <c r="H46" i="34"/>
  <c r="H46" i="58" s="1"/>
  <c r="N37"/>
  <c r="K37"/>
  <c r="K42" i="34"/>
  <c r="H37"/>
  <c r="E64"/>
  <c r="N22" i="58"/>
  <c r="N19"/>
  <c r="N33" i="34"/>
  <c r="N50"/>
  <c r="N48" i="58"/>
  <c r="K48"/>
  <c r="K50" s="1"/>
  <c r="K50" i="34"/>
  <c r="G48" i="58"/>
  <c r="G50" s="1"/>
  <c r="G50" i="34"/>
  <c r="H48"/>
  <c r="O48" s="1"/>
  <c r="N54" i="58"/>
  <c r="N64" s="1"/>
  <c r="N64" i="34"/>
  <c r="K55" i="58"/>
  <c r="K64" s="1"/>
  <c r="K64" i="34"/>
  <c r="F107"/>
  <c r="G54" i="58"/>
  <c r="G64" s="1"/>
  <c r="G64" i="34"/>
  <c r="H54"/>
  <c r="O54" s="1"/>
  <c r="N36" i="58"/>
  <c r="N42" i="34"/>
  <c r="G36" i="58"/>
  <c r="G42" s="1"/>
  <c r="G42" i="34"/>
  <c r="H36"/>
  <c r="O36" s="1"/>
  <c r="E42"/>
  <c r="H21"/>
  <c r="H21" i="58" s="1"/>
  <c r="G21"/>
  <c r="H19" i="34"/>
  <c r="O19" s="1"/>
  <c r="G19" i="58"/>
  <c r="N14"/>
  <c r="N15"/>
  <c r="N12"/>
  <c r="N13"/>
  <c r="N11"/>
  <c r="G33" i="34"/>
  <c r="K16"/>
  <c r="K10" i="58"/>
  <c r="N16" i="34"/>
  <c r="L107"/>
  <c r="L215" s="1"/>
  <c r="M107"/>
  <c r="M215" s="1"/>
  <c r="I107"/>
  <c r="I215" s="1"/>
  <c r="O218" i="31"/>
  <c r="H219"/>
  <c r="K219"/>
  <c r="F15" i="47" s="1"/>
  <c r="N219" i="31"/>
  <c r="F16" i="47" s="1"/>
  <c r="O44" i="34" l="1"/>
  <c r="O44" i="58" s="1"/>
  <c r="O139" i="34"/>
  <c r="O18"/>
  <c r="O18" i="58" s="1"/>
  <c r="H16" i="34"/>
  <c r="O16" s="1"/>
  <c r="H15" i="58"/>
  <c r="H16" s="1"/>
  <c r="O10" i="34"/>
  <c r="O10" i="58" s="1"/>
  <c r="O16" s="1"/>
  <c r="K42"/>
  <c r="K16"/>
  <c r="O139"/>
  <c r="O52" i="34"/>
  <c r="O52" i="58" s="1"/>
  <c r="I107"/>
  <c r="I215" s="1"/>
  <c r="H45"/>
  <c r="O45" i="34"/>
  <c r="O45" i="58" s="1"/>
  <c r="E50"/>
  <c r="H35"/>
  <c r="O39" i="34"/>
  <c r="O39" i="58" s="1"/>
  <c r="H39"/>
  <c r="O47" i="34"/>
  <c r="O47" i="58" s="1"/>
  <c r="H37"/>
  <c r="O37" i="34"/>
  <c r="O37" i="58" s="1"/>
  <c r="O46" i="34"/>
  <c r="O46" i="58" s="1"/>
  <c r="O21" i="34"/>
  <c r="O21" i="58" s="1"/>
  <c r="F107"/>
  <c r="F215" s="1"/>
  <c r="O170"/>
  <c r="H214"/>
  <c r="O170" i="34"/>
  <c r="H214"/>
  <c r="F215"/>
  <c r="E107" i="58"/>
  <c r="L107"/>
  <c r="N16"/>
  <c r="N50"/>
  <c r="N42"/>
  <c r="E107" i="34"/>
  <c r="E215" s="1"/>
  <c r="N33" i="58"/>
  <c r="O19"/>
  <c r="O48"/>
  <c r="H48"/>
  <c r="H50" i="34"/>
  <c r="N107"/>
  <c r="N215" s="1"/>
  <c r="K107"/>
  <c r="K215" s="1"/>
  <c r="O54" i="58"/>
  <c r="H54"/>
  <c r="H64" s="1"/>
  <c r="H64" i="34"/>
  <c r="O36" i="58"/>
  <c r="H36"/>
  <c r="H42" i="34"/>
  <c r="O42" s="1"/>
  <c r="H19" i="58"/>
  <c r="H33" s="1"/>
  <c r="H33" i="34"/>
  <c r="O33" s="1"/>
  <c r="G33" i="58"/>
  <c r="G107" s="1"/>
  <c r="G107" i="34"/>
  <c r="G215" s="1"/>
  <c r="O214" i="58" l="1"/>
  <c r="O214" i="34"/>
  <c r="O42" i="58"/>
  <c r="O64"/>
  <c r="O64" i="34"/>
  <c r="K107" i="58"/>
  <c r="K215" s="1"/>
  <c r="H50"/>
  <c r="H42"/>
  <c r="O33"/>
  <c r="O50"/>
  <c r="O50" i="34"/>
  <c r="G215" i="58"/>
  <c r="L215"/>
  <c r="E215"/>
  <c r="N107"/>
  <c r="H107" i="34"/>
  <c r="H215" s="1"/>
  <c r="O107" l="1"/>
  <c r="O215" s="1"/>
  <c r="H107" i="58"/>
  <c r="H215" s="1"/>
  <c r="O107"/>
  <c r="O215" s="1"/>
  <c r="N215"/>
  <c r="B21" i="39"/>
  <c r="C21"/>
  <c r="D21"/>
  <c r="F24" i="47" s="1"/>
  <c r="G24" s="1"/>
  <c r="O219" i="34" l="1"/>
  <c r="Q219" s="1"/>
  <c r="R219" s="1"/>
  <c r="B39" i="39"/>
  <c r="E24" i="47"/>
  <c r="C38" i="39"/>
  <c r="F22" i="47" s="1"/>
  <c r="D38" i="39"/>
  <c r="G22" i="47" s="1"/>
  <c r="B38" i="39"/>
  <c r="E22" i="47" s="1"/>
  <c r="O220" i="34" l="1"/>
  <c r="O221" s="1"/>
  <c r="Q221"/>
  <c r="D17" i="2" l="1"/>
  <c r="D8"/>
  <c r="D24" l="1"/>
  <c r="G8" l="1"/>
  <c r="P8" s="1"/>
  <c r="I8"/>
  <c r="I17"/>
  <c r="P42"/>
  <c r="P74" l="1"/>
  <c r="I24"/>
  <c r="B10" i="39" l="1"/>
  <c r="B9" s="1"/>
  <c r="B46" l="1"/>
  <c r="B42"/>
  <c r="B44"/>
  <c r="B17" l="1"/>
  <c r="B43" s="1"/>
  <c r="B41" l="1"/>
  <c r="B15"/>
  <c r="B40" l="1"/>
  <c r="E48" i="47" s="1"/>
  <c r="E68" i="31" l="1"/>
  <c r="E68" i="57" s="1"/>
  <c r="O68" s="1"/>
  <c r="D68"/>
  <c r="D74" s="1"/>
  <c r="E74" s="1"/>
  <c r="D74" i="31"/>
  <c r="D111" s="1"/>
  <c r="D219" s="1"/>
  <c r="C66" i="34" l="1"/>
  <c r="E66" s="1"/>
  <c r="O66" s="1"/>
  <c r="E111" i="57"/>
  <c r="E219" s="1"/>
  <c r="O74"/>
  <c r="O111" s="1"/>
  <c r="O219" s="1"/>
  <c r="E74" i="31"/>
  <c r="D111" i="57"/>
  <c r="D219" s="1"/>
  <c r="O68" i="31"/>
  <c r="D29" i="39" l="1"/>
  <c r="G14" i="47"/>
  <c r="H14" s="1"/>
  <c r="E66" i="58"/>
  <c r="E71" s="1"/>
  <c r="E71" i="34"/>
  <c r="C66" i="58"/>
  <c r="C71" s="1"/>
  <c r="C107" s="1"/>
  <c r="C71" i="34"/>
  <c r="C107" s="1"/>
  <c r="C215" s="1"/>
  <c r="O71"/>
  <c r="O66" i="58"/>
  <c r="O71" s="1"/>
  <c r="O74" i="31"/>
  <c r="O111" s="1"/>
  <c r="O219" s="1"/>
  <c r="E111"/>
  <c r="E219" s="1"/>
  <c r="D19" i="39" l="1"/>
  <c r="D17"/>
  <c r="D10"/>
  <c r="C29"/>
  <c r="F14" i="47"/>
  <c r="D39" i="39"/>
  <c r="C215" i="58"/>
  <c r="C39" i="39" l="1"/>
  <c r="I29"/>
  <c r="C19"/>
  <c r="P30" i="2" l="1"/>
  <c r="P26" l="1"/>
  <c r="P62"/>
  <c r="D15" i="39" l="1"/>
  <c r="C17" l="1"/>
  <c r="C15" l="1"/>
  <c r="H8" i="49" l="1"/>
  <c r="I8"/>
  <c r="I24" l="1"/>
  <c r="I87" i="50"/>
  <c r="H24" i="49"/>
  <c r="I26" l="1"/>
  <c r="I62" l="1"/>
  <c r="H26"/>
  <c r="I74" l="1"/>
  <c r="H62"/>
  <c r="H74" l="1"/>
  <c r="P90" i="48" l="1"/>
  <c r="C10" i="39" l="1"/>
  <c r="P20" i="48" l="1"/>
  <c r="P19" l="1"/>
  <c r="D11" i="39" l="1"/>
  <c r="D9" s="1"/>
  <c r="D43" s="1"/>
  <c r="D46"/>
  <c r="D41" l="1"/>
  <c r="D44"/>
  <c r="O13" i="2" l="1"/>
  <c r="C53" i="39" s="1"/>
  <c r="F17" i="2"/>
  <c r="P18"/>
  <c r="G17"/>
  <c r="G24" s="1"/>
  <c r="P17" l="1"/>
  <c r="F24"/>
  <c r="N84" l="1"/>
  <c r="P24"/>
  <c r="P84" l="1"/>
  <c r="P16" i="48"/>
  <c r="P17"/>
  <c r="P15"/>
  <c r="P12" l="1"/>
  <c r="P26" l="1"/>
  <c r="P58" l="1"/>
  <c r="P24"/>
  <c r="P57" l="1"/>
  <c r="P140" l="1"/>
  <c r="P141"/>
  <c r="P95"/>
  <c r="P139" l="1"/>
  <c r="N168" l="1"/>
  <c r="P168"/>
  <c r="C46" i="39" l="1"/>
  <c r="C11"/>
  <c r="C9" s="1"/>
  <c r="C43" s="1"/>
  <c r="C44" l="1"/>
  <c r="C41"/>
  <c r="I14" i="50" l="1"/>
  <c r="F12"/>
  <c r="F56" l="1"/>
  <c r="F94" s="1"/>
  <c r="F164" s="1"/>
  <c r="I92"/>
  <c r="I56" l="1"/>
  <c r="I94" l="1"/>
  <c r="I164" l="1"/>
  <c r="C42" i="39" l="1"/>
  <c r="C13"/>
  <c r="D42"/>
  <c r="N13" i="3"/>
  <c r="D13" i="39"/>
  <c r="J80" i="3" l="1"/>
  <c r="C40" i="39"/>
  <c r="F48" i="47" s="1"/>
  <c r="D40" i="39" l="1"/>
  <c r="G48" i="47" s="1"/>
</calcChain>
</file>

<file path=xl/sharedStrings.xml><?xml version="1.0" encoding="utf-8"?>
<sst xmlns="http://schemas.openxmlformats.org/spreadsheetml/2006/main" count="4813" uniqueCount="1531">
  <si>
    <t>Object Code</t>
  </si>
  <si>
    <t>A01101</t>
  </si>
  <si>
    <t>Basic Pay</t>
  </si>
  <si>
    <t>A01102</t>
  </si>
  <si>
    <t>Personal Pay</t>
  </si>
  <si>
    <t>A01103</t>
  </si>
  <si>
    <t>Special Pay</t>
  </si>
  <si>
    <t>A01104</t>
  </si>
  <si>
    <t>Technical Pay</t>
  </si>
  <si>
    <t>A01105</t>
  </si>
  <si>
    <t>Qualification Pay</t>
  </si>
  <si>
    <t>A01106</t>
  </si>
  <si>
    <t>Pay of Contract Staff</t>
  </si>
  <si>
    <t>A0110602</t>
  </si>
  <si>
    <t>Tenure Track Pay</t>
  </si>
  <si>
    <t>A01150</t>
  </si>
  <si>
    <t>Others</t>
  </si>
  <si>
    <t>A01151</t>
  </si>
  <si>
    <t>A01152</t>
  </si>
  <si>
    <t>A01153</t>
  </si>
  <si>
    <t>A01155</t>
  </si>
  <si>
    <t>A01156</t>
  </si>
  <si>
    <t>A01170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</si>
  <si>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</si>
  <si>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</si>
  <si>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</si>
  <si>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</si>
  <si>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</si>
  <si>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</si>
  <si>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</si>
  <si>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A0120402</t>
  </si>
  <si>
    <t>Utility Allowance</t>
  </si>
  <si>
    <t>A01207</t>
  </si>
  <si>
    <t>Washing Allowance</t>
  </si>
  <si>
    <t>A01208</t>
  </si>
  <si>
    <t>Dress Allowance</t>
  </si>
  <si>
    <t>A0129903</t>
  </si>
  <si>
    <t>Others - Integrated Allowance</t>
  </si>
  <si>
    <t>A0129904</t>
  </si>
  <si>
    <t>Others - Gun Allowance</t>
  </si>
  <si>
    <t>A01211</t>
  </si>
  <si>
    <t>Hill Allowance</t>
  </si>
  <si>
    <t>A01216</t>
  </si>
  <si>
    <t>Qualification/PhD/Special S&amp;T 
Allowance</t>
  </si>
  <si>
    <t>A01217</t>
  </si>
  <si>
    <t>Medical Allowance</t>
  </si>
  <si>
    <t>A01222</t>
  </si>
  <si>
    <t>Hardship Allowance</t>
  </si>
  <si>
    <t>A01224</t>
  </si>
  <si>
    <t>Entertainment Allowance</t>
  </si>
  <si>
    <t>A01226</t>
  </si>
  <si>
    <t>Computer Allowance</t>
  </si>
  <si>
    <t>A01227</t>
  </si>
  <si>
    <t>Project Allowance</t>
  </si>
  <si>
    <t>A01228</t>
  </si>
  <si>
    <t>Orderly Allowance</t>
  </si>
  <si>
    <t>A01230</t>
  </si>
  <si>
    <t>Dusting Allowance</t>
  </si>
  <si>
    <t>A01231</t>
  </si>
  <si>
    <t>Drinking Water Allowance</t>
  </si>
  <si>
    <t>A01236</t>
  </si>
  <si>
    <t>Deputation Allowance</t>
  </si>
  <si>
    <t>A01237</t>
  </si>
  <si>
    <t>Design Allowance</t>
  </si>
  <si>
    <t>A01238</t>
  </si>
  <si>
    <t>A01252</t>
  </si>
  <si>
    <t>Non Practising Allowance</t>
  </si>
  <si>
    <t>A01254</t>
  </si>
  <si>
    <t>Anaesthesia Allowance</t>
  </si>
  <si>
    <t>A01263</t>
  </si>
  <si>
    <t>Research Allowance</t>
  </si>
  <si>
    <t>A01267</t>
  </si>
  <si>
    <t>Provost / Warden / Boarding Allowance</t>
  </si>
  <si>
    <t>A01270</t>
  </si>
  <si>
    <t>Other Regular Allowances  - A01211 - 70</t>
  </si>
  <si>
    <t>Total Regular Allowances (Regular+ Others)</t>
  </si>
  <si>
    <t> A01271 </t>
  </si>
  <si>
    <t>Overtime Allowance to Drivers</t>
  </si>
  <si>
    <t> A01272 </t>
  </si>
  <si>
    <t>Night Duty Allowance</t>
  </si>
  <si>
    <t> A01273 </t>
  </si>
  <si>
    <t>Honorarium</t>
  </si>
  <si>
    <t> A01274 </t>
  </si>
  <si>
    <t>Medical Charges  - Hospitalization etc.</t>
  </si>
  <si>
    <t> A01277 </t>
  </si>
  <si>
    <t>Contingent Paid Staff / Daily Wages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</si>
  <si>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</si>
  <si>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</si>
  <si>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</si>
  <si>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</si>
  <si>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</si>
  <si>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</si>
  <si>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</si>
  <si>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</si>
  <si>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Particulars</t>
  </si>
  <si>
    <t>a.</t>
  </si>
  <si>
    <t>a. </t>
  </si>
  <si>
    <t>Federal Government (Annual)</t>
  </si>
  <si>
    <t>b.</t>
  </si>
  <si>
    <t>Supplementary / Additional Grant</t>
  </si>
  <si>
    <t>c.</t>
  </si>
  <si>
    <t>Grant for Tenure Track Faculty</t>
  </si>
  <si>
    <t>d.</t>
  </si>
  <si>
    <t>Provincial Govt. Grant</t>
  </si>
  <si>
    <t>e.</t>
  </si>
  <si>
    <t>f. </t>
  </si>
  <si>
    <t>3.    Total  Own Resources</t>
  </si>
  <si>
    <t>On Campus Students (sub-total)</t>
  </si>
  <si>
    <t>b. </t>
  </si>
  <si>
    <t>Affiliated College/Instituions' Students</t>
  </si>
  <si>
    <t>c. </t>
  </si>
  <si>
    <t>External (Private) Students</t>
  </si>
  <si>
    <t>Income  from Continuing Professional Development  Courses for Business &amp; Community</t>
  </si>
  <si>
    <t>Income from Continuing Education [CE] Courses for  Business &amp; Community</t>
  </si>
  <si>
    <t>Income from Collaborative and Contract Research</t>
  </si>
  <si>
    <t>Income from Consultancy &amp; Testing</t>
  </si>
  <si>
    <t>Income from Intellectual Property</t>
  </si>
  <si>
    <t>Income from Regeneration &amp; Development  Programs</t>
  </si>
  <si>
    <t>Any Other Income</t>
  </si>
  <si>
    <t>A. Total Available Resources [1+2+3]</t>
  </si>
  <si>
    <t> Faculty Salary </t>
  </si>
  <si>
    <t>TTS Faculty Salary/ Gratuity</t>
  </si>
  <si>
    <t>Salary of Officers &amp; Staff -Teaching Departments</t>
  </si>
  <si>
    <t>Other Establishment Charges</t>
  </si>
  <si>
    <t>Non Salary Expenses / Other Charges</t>
  </si>
  <si>
    <t>g.</t>
  </si>
  <si>
    <t>Research</t>
  </si>
  <si>
    <t>B. Total Expenditures [ 5 + 6 ]</t>
  </si>
  <si>
    <t>C. Surplus / Deficit    [A  -   B]</t>
  </si>
  <si>
    <t>D.</t>
  </si>
  <si>
    <t>Approved Budget</t>
  </si>
  <si>
    <t>E.</t>
  </si>
  <si>
    <t>F.</t>
  </si>
  <si>
    <t>Sanctioned 
Posts</t>
  </si>
  <si>
    <t>Filled Posts</t>
  </si>
  <si>
    <t>Vacant Posts</t>
  </si>
  <si>
    <t>PhD</t>
  </si>
  <si>
    <t>Non-PhD</t>
  </si>
  <si>
    <t>Total</t>
  </si>
  <si>
    <t>Number of Posts</t>
  </si>
  <si>
    <t>Male</t>
  </si>
  <si>
    <t>Female</t>
  </si>
  <si>
    <t>Arts / Humanities</t>
  </si>
  <si>
    <t>Professor</t>
  </si>
  <si>
    <t>Associate Professor</t>
  </si>
  <si>
    <t>Assistant Professor</t>
  </si>
  <si>
    <t>Lecturer</t>
  </si>
  <si>
    <t>Social Sciences</t>
  </si>
  <si>
    <t>Agriculture</t>
  </si>
  <si>
    <t>Medical</t>
  </si>
  <si>
    <t>Veterinary Sciences</t>
  </si>
  <si>
    <t>Engineering</t>
  </si>
  <si>
    <t>Grand Total</t>
  </si>
  <si>
    <t>Number</t>
  </si>
  <si>
    <t>Bachelor</t>
  </si>
  <si>
    <t>Bechelor</t>
  </si>
  <si>
    <t>Master</t>
  </si>
  <si>
    <t>MS/ M.phil</t>
  </si>
  <si>
    <t>BPS</t>
  </si>
  <si>
    <t>TTS</t>
  </si>
  <si>
    <t xml:space="preserve"> 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</si>
  <si>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</si>
  <si>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</si>
  <si>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</si>
  <si>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</si>
  <si>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</si>
  <si>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</si>
  <si>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</si>
  <si>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A09501</t>
  </si>
  <si>
    <t>A09601</t>
  </si>
  <si>
    <t>A09701</t>
  </si>
  <si>
    <t>A09801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</si>
  <si>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</si>
  <si>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</si>
  <si>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</si>
  <si>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</si>
  <si>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</si>
  <si>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</si>
  <si>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</si>
  <si>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</si>
  <si>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</si>
  <si>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</si>
  <si>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A13304</t>
  </si>
  <si>
    <t>Structures</t>
  </si>
  <si>
    <t>A13701</t>
  </si>
  <si>
    <t>A13702</t>
  </si>
  <si>
    <t>A13703</t>
  </si>
  <si>
    <t>A13801</t>
  </si>
  <si>
    <t>A13901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</si>
  <si>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</si>
  <si>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</si>
  <si>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</si>
  <si>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</si>
  <si>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</si>
  <si>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</si>
  <si>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</si>
  <si>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</si>
  <si>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</si>
  <si>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</si>
  <si>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</si>
  <si>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</si>
  <si>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</si>
  <si>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</si>
  <si>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</si>
  <si>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</si>
  <si>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A03302</t>
  </si>
  <si>
    <t>Water</t>
  </si>
  <si>
    <t>A03303</t>
  </si>
  <si>
    <t>Electricity</t>
  </si>
  <si>
    <t>A03304</t>
  </si>
  <si>
    <t>A034</t>
  </si>
  <si>
    <t>A03402</t>
  </si>
  <si>
    <t>A03403</t>
  </si>
  <si>
    <t>A03404</t>
  </si>
  <si>
    <t>A03410</t>
  </si>
  <si>
    <t>A036</t>
  </si>
  <si>
    <t>A03602</t>
  </si>
  <si>
    <t>Insurance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</si>
  <si>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</si>
  <si>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</si>
  <si>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</si>
  <si>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</si>
  <si>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</si>
  <si>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</si>
  <si>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</si>
  <si>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</si>
  <si>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</si>
  <si>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</si>
  <si>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</si>
  <si>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</si>
  <si>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</si>
  <si>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</si>
  <si>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</si>
  <si>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</si>
  <si>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</si>
  <si>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</si>
  <si>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</si>
  <si>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</si>
  <si>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A03904</t>
  </si>
  <si>
    <t>A03905</t>
  </si>
  <si>
    <t>A03906</t>
  </si>
  <si>
    <t>A03907</t>
  </si>
  <si>
    <t>A03912</t>
  </si>
  <si>
    <t>A03913</t>
  </si>
  <si>
    <t>A03915</t>
  </si>
  <si>
    <t>A03916</t>
  </si>
  <si>
    <t>A03917</t>
  </si>
  <si>
    <t>A03918</t>
  </si>
  <si>
    <t>A03919</t>
  </si>
  <si>
    <t>A03927</t>
  </si>
  <si>
    <t>A03933</t>
  </si>
  <si>
    <t>A03935</t>
  </si>
  <si>
    <t>A03936</t>
  </si>
  <si>
    <t>A03940</t>
  </si>
  <si>
    <t>A03942</t>
  </si>
  <si>
    <t>A03959</t>
  </si>
  <si>
    <t>A03970</t>
  </si>
  <si>
    <t>A0397002</t>
  </si>
  <si>
    <t>A0397003</t>
  </si>
  <si>
    <t>A0397004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</si>
  <si>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</si>
  <si>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</si>
  <si>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</si>
  <si>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</si>
  <si>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</si>
  <si>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</si>
  <si>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</si>
  <si>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</si>
  <si>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</si>
  <si>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</si>
  <si>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</si>
  <si>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</si>
  <si>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</si>
  <si>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</si>
  <si>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</si>
  <si>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</si>
  <si>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</si>
  <si>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</si>
  <si>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</si>
  <si>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</si>
  <si>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</si>
  <si>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</si>
  <si>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</si>
  <si>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</si>
  <si>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</si>
  <si>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</si>
  <si>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</si>
  <si>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C02813</t>
  </si>
  <si>
    <t>C0281301</t>
  </si>
  <si>
    <t>C0281306</t>
  </si>
  <si>
    <t>C0281201</t>
  </si>
  <si>
    <t>C02815</t>
  </si>
  <si>
    <t>C0281501</t>
  </si>
  <si>
    <t>C0281809</t>
  </si>
  <si>
    <t>Total:</t>
  </si>
  <si>
    <t>Consolidated Position of Funds in all Bank Accounts</t>
  </si>
  <si>
    <t>Amount Rs.</t>
  </si>
  <si>
    <t>S.</t>
  </si>
  <si>
    <t xml:space="preserve">Name, Designation </t>
  </si>
  <si>
    <t>Pay</t>
  </si>
  <si>
    <t>Sen.</t>
  </si>
  <si>
    <t>Enter.</t>
  </si>
  <si>
    <t>Orderly</t>
  </si>
  <si>
    <t>H. Rent</t>
  </si>
  <si>
    <t>Convey.</t>
  </si>
  <si>
    <t>Qualifica-</t>
  </si>
  <si>
    <t>Dean/</t>
  </si>
  <si>
    <t>Compu-</t>
  </si>
  <si>
    <t>Washing</t>
  </si>
  <si>
    <t xml:space="preserve">Dress </t>
  </si>
  <si>
    <t>Dusting</t>
  </si>
  <si>
    <t>Gun</t>
  </si>
  <si>
    <t xml:space="preserve">Hill </t>
  </si>
  <si>
    <t>Hard-
ship</t>
  </si>
  <si>
    <t>No.</t>
  </si>
  <si>
    <t>&amp; Scale</t>
  </si>
  <si>
    <t>Post</t>
  </si>
  <si>
    <t>Allow</t>
  </si>
  <si>
    <t>Allow.</t>
  </si>
  <si>
    <t>tion/ Ph.D.</t>
  </si>
  <si>
    <t>Chairman</t>
  </si>
  <si>
    <t>ter Allow.</t>
  </si>
  <si>
    <t>Relief</t>
  </si>
  <si>
    <t xml:space="preserve">Officers / Staff (All Administrative/Services Departments) </t>
  </si>
  <si>
    <t>Total (Faculty + Staff)</t>
  </si>
  <si>
    <t>Science (Basic, Natural, IT etc.) Departments</t>
  </si>
  <si>
    <t>Agriculture Departments</t>
  </si>
  <si>
    <t>Medical / Veterinary Departments</t>
  </si>
  <si>
    <t>Engineering Departments</t>
  </si>
  <si>
    <t>Grand Total: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</si>
  <si>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HEC-107. </t>
    </r>
  </si>
  <si>
    <t>Enrolment in Affiliated Colleges and External/Private Students</t>
  </si>
  <si>
    <t>Law</t>
  </si>
  <si>
    <t>Education</t>
  </si>
  <si>
    <t>Annex-I</t>
  </si>
  <si>
    <t>Discipline-wise List of subjects</t>
  </si>
  <si>
    <t>S.No</t>
  </si>
  <si>
    <t>Subject</t>
  </si>
  <si>
    <t>Agriculture Education</t>
  </si>
  <si>
    <t>Agriculture Extension</t>
  </si>
  <si>
    <t>Anthropology</t>
  </si>
  <si>
    <t>Agronomy</t>
  </si>
  <si>
    <t>Applied Psychology</t>
  </si>
  <si>
    <t>Crop Production</t>
  </si>
  <si>
    <t>Archaeology</t>
  </si>
  <si>
    <t>Entomology</t>
  </si>
  <si>
    <t>Area Studies</t>
  </si>
  <si>
    <t>Fiber Technology</t>
  </si>
  <si>
    <t xml:space="preserve">Asian Studies </t>
  </si>
  <si>
    <t>Food Science and Technology</t>
  </si>
  <si>
    <t>Behavioural Sciences</t>
  </si>
  <si>
    <t>Food Technology</t>
  </si>
  <si>
    <t>Clinical Psychology</t>
  </si>
  <si>
    <t>Forestry</t>
  </si>
  <si>
    <t>Continuing Education</t>
  </si>
  <si>
    <t>Horticulture</t>
  </si>
  <si>
    <t>Criminology</t>
  </si>
  <si>
    <t>Nutrition</t>
  </si>
  <si>
    <t>Defence Studies</t>
  </si>
  <si>
    <t>Plant Breeding and Genetics</t>
  </si>
  <si>
    <t>Development Economics</t>
  </si>
  <si>
    <t>Plant Pathology</t>
  </si>
  <si>
    <t>Development Studies</t>
  </si>
  <si>
    <t>Plant Protection</t>
  </si>
  <si>
    <t>Economics</t>
  </si>
  <si>
    <t>Soil and Environmental Sciences</t>
  </si>
  <si>
    <t>Economics and Business</t>
  </si>
  <si>
    <t>Water Management</t>
  </si>
  <si>
    <t>Economics and Finance</t>
  </si>
  <si>
    <t>Weed Science</t>
  </si>
  <si>
    <t>Education and Research</t>
  </si>
  <si>
    <t>Education Development</t>
  </si>
  <si>
    <t>Engineering and Technology</t>
  </si>
  <si>
    <t>Education Extention D Learning</t>
  </si>
  <si>
    <t>Educational Training</t>
  </si>
  <si>
    <t>Aerospace Engineering</t>
  </si>
  <si>
    <t>Enviornmental Economics</t>
  </si>
  <si>
    <t>Agriculture Engineering</t>
  </si>
  <si>
    <t>Gender Studies</t>
  </si>
  <si>
    <t>Agriculture Mechanization</t>
  </si>
  <si>
    <t>General History</t>
  </si>
  <si>
    <t>Architecture Engineering</t>
  </si>
  <si>
    <t>Hadith and Seerah Studies</t>
  </si>
  <si>
    <t>Automobile Technology</t>
  </si>
  <si>
    <t>History</t>
  </si>
  <si>
    <t>Avionics Engineering</t>
  </si>
  <si>
    <t>Home Economics</t>
  </si>
  <si>
    <t>Biomedical Engineering</t>
  </si>
  <si>
    <t>International Relations</t>
  </si>
  <si>
    <t>Chemical Engineering</t>
  </si>
  <si>
    <t>Islamic Culture</t>
  </si>
  <si>
    <t>Chemical Engineering &amp; Materials</t>
  </si>
  <si>
    <t>Islamic History</t>
  </si>
  <si>
    <t>Civil Engineering</t>
  </si>
  <si>
    <t>Islamic Learning</t>
  </si>
  <si>
    <t>Coal Technology</t>
  </si>
  <si>
    <t>Islamic Studies</t>
  </si>
  <si>
    <t>Computer Engineering</t>
  </si>
  <si>
    <t>Islamic Studies / Arabic</t>
  </si>
  <si>
    <t>Computer Engineering and Information System</t>
  </si>
  <si>
    <t>Islamic Studies Quran and Sunna</t>
  </si>
  <si>
    <t>Computer System Engineering</t>
  </si>
  <si>
    <t>Islamic Studies-Usuluddin</t>
  </si>
  <si>
    <t>Electrical Engineering</t>
  </si>
  <si>
    <t>Electrical Engineering  (Communication)</t>
  </si>
  <si>
    <t>Law and Shariah</t>
  </si>
  <si>
    <t>Electrical Engineering  (Power)</t>
  </si>
  <si>
    <t>Library and Information Science</t>
  </si>
  <si>
    <t>Electrical Engineering  (Telecom)</t>
  </si>
  <si>
    <t>Pakistan Studies</t>
  </si>
  <si>
    <t>Electrical Engineering  Ind.</t>
  </si>
  <si>
    <t>Philosophy</t>
  </si>
  <si>
    <t>Electronics Engineering</t>
  </si>
  <si>
    <t>Physical Education</t>
  </si>
  <si>
    <t>Engineering City &amp; Regional Planning</t>
  </si>
  <si>
    <t>Physical Education and Health</t>
  </si>
  <si>
    <t>Engineering Sciences</t>
  </si>
  <si>
    <t>Political Science</t>
  </si>
  <si>
    <t>Enviornmental Engineering</t>
  </si>
  <si>
    <t>Politics and International Relations</t>
  </si>
  <si>
    <t>Environment and Energy Engineering</t>
  </si>
  <si>
    <t>Psychology</t>
  </si>
  <si>
    <t>Environmental Engineering and Mangement</t>
  </si>
  <si>
    <t>Rural Development</t>
  </si>
  <si>
    <t>Geotechnical Engineering</t>
  </si>
  <si>
    <t>Rural Sociology</t>
  </si>
  <si>
    <t>Industrial Engineering</t>
  </si>
  <si>
    <t>Seerat Studies</t>
  </si>
  <si>
    <t>Irrigation &amp; Drainage Engineering</t>
  </si>
  <si>
    <t>Material Sciences Engineering</t>
  </si>
  <si>
    <t>Social Sciences and Economics</t>
  </si>
  <si>
    <t>Mechanical Engineering</t>
  </si>
  <si>
    <t>Social Work</t>
  </si>
  <si>
    <t>Mechatronics Engineering</t>
  </si>
  <si>
    <t>Sociology</t>
  </si>
  <si>
    <t>Metallurgy and Materials Engineering</t>
  </si>
  <si>
    <t>Special Education</t>
  </si>
  <si>
    <t>Mining Engineering</t>
  </si>
  <si>
    <t>Women Studies</t>
  </si>
  <si>
    <t>Nuclear Engineering</t>
  </si>
  <si>
    <t>Petroleum and Natural Gas Engineering</t>
  </si>
  <si>
    <t>Petroleum Technology</t>
  </si>
  <si>
    <t>Polymer Engineering</t>
  </si>
  <si>
    <t>Process Engineering</t>
  </si>
  <si>
    <t>Structural Engineering</t>
  </si>
  <si>
    <t>Technologies</t>
  </si>
  <si>
    <t>Telecom Engineering</t>
  </si>
  <si>
    <t>Telecommunication</t>
  </si>
  <si>
    <t>Telecommunication Systems</t>
  </si>
  <si>
    <t>Textile Engineering</t>
  </si>
  <si>
    <t>Textile Science</t>
  </si>
  <si>
    <t>Transportation Engineering</t>
  </si>
  <si>
    <t>Urban Engineering</t>
  </si>
  <si>
    <t>Arts and Humanities</t>
  </si>
  <si>
    <t>Sciences (Biological and Natural Sciences etc.)</t>
  </si>
  <si>
    <t>Applied Linguistics</t>
  </si>
  <si>
    <t>Agriculture Chemistry</t>
  </si>
  <si>
    <t>Arabic</t>
  </si>
  <si>
    <t>Applied Chemistry</t>
  </si>
  <si>
    <t>Architecture Design</t>
  </si>
  <si>
    <t>Applied Mathematics</t>
  </si>
  <si>
    <t>Arts and Design</t>
  </si>
  <si>
    <t>Applied Physics</t>
  </si>
  <si>
    <t>Balochi</t>
  </si>
  <si>
    <t>Basic Sciences</t>
  </si>
  <si>
    <t>Bengali</t>
  </si>
  <si>
    <t>Bio-Statistics</t>
  </si>
  <si>
    <t>Brahvi</t>
  </si>
  <si>
    <t>Chemistry</t>
  </si>
  <si>
    <t>Ceramics Design</t>
  </si>
  <si>
    <t>Electronics</t>
  </si>
  <si>
    <t>Chinese</t>
  </si>
  <si>
    <t>Electronics Micro Nano</t>
  </si>
  <si>
    <t>Communication Design</t>
  </si>
  <si>
    <t>Enviornment Science</t>
  </si>
  <si>
    <t>Communication Studies</t>
  </si>
  <si>
    <t>Environmental Design</t>
  </si>
  <si>
    <t>Computer Arts</t>
  </si>
  <si>
    <t>Environmental Studies</t>
  </si>
  <si>
    <t>English</t>
  </si>
  <si>
    <t>Geography</t>
  </si>
  <si>
    <t>English Language</t>
  </si>
  <si>
    <t>Geology</t>
  </si>
  <si>
    <t>English Literature</t>
  </si>
  <si>
    <t>Geophysics</t>
  </si>
  <si>
    <t>Extension Education and Communication</t>
  </si>
  <si>
    <t>High Energy Physics</t>
  </si>
  <si>
    <t>Fashion Design</t>
  </si>
  <si>
    <t>Industrial Chemistry</t>
  </si>
  <si>
    <t>French</t>
  </si>
  <si>
    <t>Mathematics</t>
  </si>
  <si>
    <t>German</t>
  </si>
  <si>
    <t>Medical Physics</t>
  </si>
  <si>
    <t>Hindi</t>
  </si>
  <si>
    <t>Meterology</t>
  </si>
  <si>
    <t>Interior Design</t>
  </si>
  <si>
    <t>Mineralogy</t>
  </si>
  <si>
    <t>Iqbaliyat</t>
  </si>
  <si>
    <t>Mountain Research</t>
  </si>
  <si>
    <t>Journalism</t>
  </si>
  <si>
    <t>Operational Research</t>
  </si>
  <si>
    <t>Mass Communication</t>
  </si>
  <si>
    <t>Physical Chemistry</t>
  </si>
  <si>
    <t>Mass Communication Management</t>
  </si>
  <si>
    <t>Physics</t>
  </si>
  <si>
    <t>Multimedia Arts</t>
  </si>
  <si>
    <t>Science and Humanities</t>
  </si>
  <si>
    <t>Musicology</t>
  </si>
  <si>
    <t>Seismology</t>
  </si>
  <si>
    <t>Pakistani Languages and Literature</t>
  </si>
  <si>
    <t>Solid State Physics</t>
  </si>
  <si>
    <t>Pashto</t>
  </si>
  <si>
    <t>Space Science</t>
  </si>
  <si>
    <t>Persian</t>
  </si>
  <si>
    <t xml:space="preserve">Sports Science </t>
  </si>
  <si>
    <t>Product Design</t>
  </si>
  <si>
    <t>Statistics</t>
  </si>
  <si>
    <t>Punjabi</t>
  </si>
  <si>
    <t>Textile Chemistry</t>
  </si>
  <si>
    <t>Saraiki</t>
  </si>
  <si>
    <t>Vision Sciences</t>
  </si>
  <si>
    <t>Sindhi</t>
  </si>
  <si>
    <t>Biochemistry</t>
  </si>
  <si>
    <t>Textile Design</t>
  </si>
  <si>
    <t>Bioinformatics</t>
  </si>
  <si>
    <t>Urdu Language</t>
  </si>
  <si>
    <t>Biological Sciences</t>
  </si>
  <si>
    <t>Urdu Language and Iqbaliat</t>
  </si>
  <si>
    <t>Biology</t>
  </si>
  <si>
    <t>Visual Arts</t>
  </si>
  <si>
    <t>Biology and Biotechnology</t>
  </si>
  <si>
    <t>Visual Studies</t>
  </si>
  <si>
    <t>Biotechnology</t>
  </si>
  <si>
    <t>Biotechnology and informatics</t>
  </si>
  <si>
    <t>Computer Science/ IT</t>
  </si>
  <si>
    <t>Biotechnology Genetics</t>
  </si>
  <si>
    <t>Botany</t>
  </si>
  <si>
    <t>Computer Science</t>
  </si>
  <si>
    <t>Fresh Water Biology and Fisheries</t>
  </si>
  <si>
    <t>Computer Science and Information Technology</t>
  </si>
  <si>
    <t>Medical Basic Sciences</t>
  </si>
  <si>
    <t>Geographical Information System</t>
  </si>
  <si>
    <t>Microbiology</t>
  </si>
  <si>
    <t>GIS &amp; Remote Sensing</t>
  </si>
  <si>
    <t>Molecular Biology</t>
  </si>
  <si>
    <t>Information and Communication Sciences</t>
  </si>
  <si>
    <t>Nuclear Medicine</t>
  </si>
  <si>
    <t>Information Security</t>
  </si>
  <si>
    <t>Pharmacy</t>
  </si>
  <si>
    <t>Information Technology</t>
  </si>
  <si>
    <t>Physiology</t>
  </si>
  <si>
    <t>Software Engineering</t>
  </si>
  <si>
    <t>Zoology</t>
  </si>
  <si>
    <t>Business / Management Sciences</t>
  </si>
  <si>
    <t>Agriculture Business and Marketing</t>
  </si>
  <si>
    <t>Allied Medicine</t>
  </si>
  <si>
    <t>Banking and Finance</t>
  </si>
  <si>
    <t>Anatomy</t>
  </si>
  <si>
    <t>Business Administration</t>
  </si>
  <si>
    <t>Dentistry</t>
  </si>
  <si>
    <t>Business Administration and Management</t>
  </si>
  <si>
    <t>Eastern Medicine and Surgery</t>
  </si>
  <si>
    <t>Business Administration D Learning</t>
  </si>
  <si>
    <t>Immunology</t>
  </si>
  <si>
    <t>Business and Information Technology</t>
  </si>
  <si>
    <t>Business Studies</t>
  </si>
  <si>
    <t>Homeopathy Medicine</t>
  </si>
  <si>
    <t>Commerce</t>
  </si>
  <si>
    <t>Nursing</t>
  </si>
  <si>
    <t>E-Commerce</t>
  </si>
  <si>
    <t>Pathology</t>
  </si>
  <si>
    <t>Finance Accounting</t>
  </si>
  <si>
    <t>Management Science</t>
  </si>
  <si>
    <t>MBA Executive</t>
  </si>
  <si>
    <t>S.#</t>
  </si>
  <si>
    <t>Public Administration</t>
  </si>
  <si>
    <t>Livestock Management</t>
  </si>
  <si>
    <t>Quality and Technology Management</t>
  </si>
  <si>
    <t>Veterinary Animal Husbandry and Vet Science</t>
  </si>
  <si>
    <t>Veterinary Clinical Med and Sugery</t>
  </si>
  <si>
    <t>Admission Fees</t>
  </si>
  <si>
    <t>Tuition Fees - Regular Fee Structure</t>
  </si>
  <si>
    <t>C0281311</t>
  </si>
  <si>
    <t>Tuition Fees - Self-Support Scheme</t>
  </si>
  <si>
    <t>C0281316</t>
  </si>
  <si>
    <t>Tuition Fees - Self-Financing Scheme</t>
  </si>
  <si>
    <t>C0281322</t>
  </si>
  <si>
    <t>Registration Fees - University  Students Only</t>
  </si>
  <si>
    <t>C0281323</t>
  </si>
  <si>
    <t>C0281326</t>
  </si>
  <si>
    <t>Registration Fees - Private / External Students</t>
  </si>
  <si>
    <t>C0281332</t>
  </si>
  <si>
    <t>C0281333</t>
  </si>
  <si>
    <t>Examination Fees -  Affiliated Colleges Students</t>
  </si>
  <si>
    <t>C0281336</t>
  </si>
  <si>
    <t>Examination Fees - Private / External Students</t>
  </si>
  <si>
    <t>C0281341</t>
  </si>
  <si>
    <t>Library Fees</t>
  </si>
  <si>
    <t>C0281346</t>
  </si>
  <si>
    <t>Degree / Transcript Fee etc.</t>
  </si>
  <si>
    <t>C0281361</t>
  </si>
  <si>
    <t>Income from Continuing Professional Development Courses for Business &amp; Community</t>
  </si>
  <si>
    <t>C0281375</t>
  </si>
  <si>
    <t>C0281390</t>
  </si>
  <si>
    <t>Other Misc. Fees from Students</t>
  </si>
  <si>
    <t>Education General Fees [ 301 - 390 ]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</si>
  <si>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</si>
  <si>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</si>
  <si>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</si>
  <si>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</si>
  <si>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</si>
  <si>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</si>
  <si>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</si>
  <si>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</si>
  <si>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</si>
  <si>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</si>
  <si>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</si>
  <si>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</si>
  <si>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Hostel Fees / User Charges [ 201 - 226 ]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</si>
  <si>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</si>
  <si>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</si>
  <si>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</si>
  <si>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</si>
  <si>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</si>
  <si>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</si>
  <si>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</si>
  <si>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</si>
  <si>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</si>
  <si>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</si>
  <si>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</si>
  <si>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</si>
  <si>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</si>
  <si>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</si>
  <si>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</si>
  <si>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</si>
  <si>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</si>
  <si>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</si>
  <si>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</si>
  <si>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</si>
  <si>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</si>
  <si>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</si>
  <si>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</si>
  <si>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</si>
  <si>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</si>
  <si>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</si>
  <si>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</si>
  <si>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</si>
  <si>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</si>
  <si>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</si>
  <si>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</si>
  <si>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</si>
  <si>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</si>
  <si>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</si>
  <si>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</si>
  <si>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</si>
  <si>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</si>
  <si>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</si>
  <si>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</si>
  <si>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</si>
  <si>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</si>
  <si>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</si>
  <si>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</si>
  <si>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</si>
  <si>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</si>
  <si>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</si>
  <si>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</si>
  <si>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</si>
  <si>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Affiliation Fees Received from Other Institutions</t>
  </si>
  <si>
    <t>C0281820</t>
  </si>
  <si>
    <t>Sale of Publications</t>
  </si>
  <si>
    <t>C0281830</t>
  </si>
  <si>
    <t>Sale of Prospectus / Forms</t>
  </si>
  <si>
    <t>C0281840</t>
  </si>
  <si>
    <t>Rent / Lease of University Buildings / Shops etc.</t>
  </si>
  <si>
    <t>C0281850</t>
  </si>
  <si>
    <t>Income from Farm Produces / Livestock etc.</t>
  </si>
  <si>
    <t>C0281860</t>
  </si>
  <si>
    <t>Interest on Investments / Cash Balances etc.</t>
  </si>
  <si>
    <t>Other Misc. Receipts</t>
  </si>
  <si>
    <t>C02818 </t>
  </si>
  <si>
    <t>Others [ 809 - 870 ]</t>
  </si>
  <si>
    <t>Detail of Establishment Charges</t>
  </si>
  <si>
    <t>Rs. in million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</si>
  <si>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</si>
  <si>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</si>
  <si>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</si>
  <si>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</si>
  <si>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</si>
  <si>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</si>
  <si>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</si>
  <si>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</si>
  <si>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</si>
  <si>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</si>
  <si>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</si>
  <si>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</si>
  <si>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</si>
  <si>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</si>
  <si>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Renewals &amp; Replacements</t>
  </si>
  <si>
    <t>A0640301</t>
  </si>
  <si>
    <t>University linkage Programe</t>
  </si>
  <si>
    <t>A0640205</t>
  </si>
  <si>
    <t>Cobtribution / Transfers to Benevolent  Fund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</si>
  <si>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</si>
  <si>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</si>
  <si>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</si>
  <si>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</si>
  <si>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</si>
  <si>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</si>
  <si>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</si>
  <si>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</si>
  <si>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</si>
  <si>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</si>
  <si>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</si>
  <si>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</si>
  <si>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</si>
  <si>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</si>
  <si>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</si>
  <si>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</si>
  <si>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</si>
  <si>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</si>
  <si>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Need Based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</si>
  <si>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</si>
  <si>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</si>
  <si>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</si>
  <si>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</si>
  <si>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</si>
  <si>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</si>
  <si>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Others - Repair</t>
  </si>
  <si>
    <t>Lines &amp; Wires - Repair</t>
  </si>
  <si>
    <t>Maintenance of Gardens</t>
  </si>
  <si>
    <t>I.T. Equipment</t>
  </si>
  <si>
    <t>Residential Buildings</t>
  </si>
  <si>
    <t>Office Buildings</t>
  </si>
  <si>
    <t>Furniture &amp; Fixture</t>
  </si>
  <si>
    <t>Machinery &amp; Equipment</t>
  </si>
  <si>
    <t>A04 </t>
  </si>
  <si>
    <t>Others  - Assistance Package for Families of Emps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</si>
  <si>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</si>
  <si>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</si>
  <si>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</si>
  <si>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</si>
  <si>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</si>
  <si>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</si>
  <si>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</si>
  <si>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</si>
  <si>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Stipends Incentives etc.</t>
  </si>
  <si>
    <t>Specific Consumable</t>
  </si>
  <si>
    <t>A0394204</t>
  </si>
  <si>
    <t>Generic Consumable</t>
  </si>
  <si>
    <t>A0394203</t>
  </si>
  <si>
    <t>Chemicals / Glassware</t>
  </si>
  <si>
    <t>A0394202</t>
  </si>
  <si>
    <t>Cost of other stores</t>
  </si>
  <si>
    <t>Unforeseen Expenditure / Contingencies</t>
  </si>
  <si>
    <t>Foreign / Inland Training Course Fee</t>
  </si>
  <si>
    <t>Depriciation Expense</t>
  </si>
  <si>
    <t>Service Charges</t>
  </si>
  <si>
    <t>Purchase of Drugs and Medicines</t>
  </si>
  <si>
    <t>Payments to Other services rendered  - Audit Fee etc.</t>
  </si>
  <si>
    <t>Exhibitions Fairs &amp; Other National  Celebrations</t>
  </si>
  <si>
    <t>Law Charges</t>
  </si>
  <si>
    <t>Essay Writing &amp; Copyrights</t>
  </si>
  <si>
    <t>Payment to Govt. Department for  Services Rendered</t>
  </si>
  <si>
    <t>Contribution &amp; Subscription</t>
  </si>
  <si>
    <t>Expenditure on Pakistani Delegations to Foreign Countries</t>
  </si>
  <si>
    <t>Advertising &amp; Publicity</t>
  </si>
  <si>
    <t>Uniforms and Protective Clothing</t>
  </si>
  <si>
    <t>Newspapers Periodicals and Books</t>
  </si>
  <si>
    <t>Hire of Vehicles</t>
  </si>
  <si>
    <t>Convocation Expenses</t>
  </si>
  <si>
    <t>Conferences / Seminars / Workshops /
 Symposia</t>
  </si>
  <si>
    <t>Printing and publications</t>
  </si>
  <si>
    <t>Study Tours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</si>
  <si>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</si>
  <si>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</si>
  <si>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</si>
  <si>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</si>
  <si>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</si>
  <si>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</si>
  <si>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</si>
  <si>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</si>
  <si>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</si>
  <si>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</si>
  <si>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</si>
  <si>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</si>
  <si>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</si>
  <si>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</si>
  <si>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</si>
  <si>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</si>
  <si>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</si>
  <si>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</si>
  <si>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</si>
  <si>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</si>
  <si>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</si>
  <si>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</si>
  <si>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</si>
  <si>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</si>
  <si>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</si>
  <si>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Other Occupancey Cost</t>
  </si>
  <si>
    <t>A03470</t>
  </si>
  <si>
    <t>Security Charges</t>
  </si>
  <si>
    <t>Rates and Taxes</t>
  </si>
  <si>
    <t>A03407</t>
  </si>
  <si>
    <t>Rent for other Buildings  - Hostels etc.</t>
  </si>
  <si>
    <t>Rent for Office Building</t>
  </si>
  <si>
    <t>Hot &amp; Cold Weather Charges</t>
  </si>
  <si>
    <t>Courier and Pilot Services</t>
  </si>
  <si>
    <t>Internet Charges</t>
  </si>
  <si>
    <t>A0320403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</si>
  <si>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</si>
  <si>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</si>
  <si>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</si>
  <si>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</si>
  <si>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</si>
  <si>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</si>
  <si>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</si>
  <si>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</si>
  <si>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</si>
  <si>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 xml:space="preserve">Approved 
Budget </t>
  </si>
  <si>
    <t>Revised 
Estimates</t>
  </si>
  <si>
    <t>Leave Salary / Pension Contribution - Deputationists</t>
  </si>
  <si>
    <t>Total Pay of Officers  </t>
  </si>
  <si>
    <t>Total Regular Allowances </t>
  </si>
  <si>
    <t>Total Pay of Staff    </t>
  </si>
  <si>
    <t>A0124407</t>
  </si>
  <si>
    <t>10%
Adhoc</t>
  </si>
  <si>
    <t xml:space="preserve">Budget  Heads 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</si>
  <si>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</si>
  <si>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</si>
  <si>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</si>
  <si>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</si>
  <si>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</si>
  <si>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</si>
  <si>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</si>
  <si>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</si>
  <si>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</si>
  <si>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</si>
  <si>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</si>
  <si>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Entertainments and Gifts 
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</si>
  <si>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</si>
  <si>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</si>
  <si>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</si>
  <si>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</si>
  <si>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</si>
  <si>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</si>
  <si>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</si>
  <si>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</si>
  <si>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Registration Fees -Affiliated Colleges Students only</t>
  </si>
  <si>
    <t>Income from Continuing Education Courses for 
Business &amp; Community</t>
  </si>
  <si>
    <t>Examination Fees-University  On Campus Students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</si>
  <si>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</si>
  <si>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</si>
  <si>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</si>
  <si>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</si>
  <si>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</si>
  <si>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h.</t>
  </si>
  <si>
    <t>Library Expenses</t>
  </si>
  <si>
    <t>Charge Allowance  - Deanship / Chairmanship/Headship Allowance</t>
  </si>
  <si>
    <t>Budget Heads</t>
  </si>
  <si>
    <t>Total Own Resources</t>
  </si>
  <si>
    <r>
      <t xml:space="preserve">5.    Total Establishment Charges </t>
    </r>
    <r>
      <rPr>
        <b/>
        <sz val="11"/>
        <color indexed="18"/>
        <rFont val="Arial"/>
        <family val="2"/>
      </rPr>
      <t>[4 a to e ]</t>
    </r>
  </si>
  <si>
    <r>
      <t xml:space="preserve">6.    Total Non Salary Expenses </t>
    </r>
    <r>
      <rPr>
        <b/>
        <sz val="11"/>
        <color indexed="18"/>
        <rFont val="Arial"/>
        <family val="2"/>
      </rPr>
      <t>[4 f to h ]</t>
    </r>
  </si>
  <si>
    <t>Salary Scale</t>
  </si>
  <si>
    <t>Consolidated Position:</t>
  </si>
  <si>
    <t>Designation/Title</t>
  </si>
  <si>
    <t>Pay Scale</t>
  </si>
  <si>
    <t>Annual Salary impact</t>
  </si>
  <si>
    <t xml:space="preserve">Name of the University: </t>
  </si>
  <si>
    <t>Annual Salary Impact</t>
  </si>
  <si>
    <t>Number of Sanctioned Posts</t>
  </si>
  <si>
    <t>G.Total</t>
  </si>
  <si>
    <t xml:space="preserve">sub-total </t>
  </si>
  <si>
    <t>Total Number of Sanctioned Posts</t>
  </si>
  <si>
    <t>Name of Departments</t>
  </si>
  <si>
    <t>HEC -106 (a)</t>
  </si>
  <si>
    <t>HEC -106 (b)</t>
  </si>
  <si>
    <t>HEC-107 (a)</t>
  </si>
  <si>
    <t>HEC-107 (b)</t>
  </si>
  <si>
    <t>Title of Academic Programs (discipline-wise)</t>
  </si>
  <si>
    <t>Agriculture Sciences</t>
  </si>
  <si>
    <t>MS/ M.Phil.</t>
  </si>
  <si>
    <t>HEC-107 (c)</t>
  </si>
  <si>
    <t>Tuition Fee</t>
  </si>
  <si>
    <t>Other Fees</t>
  </si>
  <si>
    <t>HEC-107 (d)</t>
  </si>
  <si>
    <t>3 Months</t>
  </si>
  <si>
    <t>6 Months</t>
  </si>
  <si>
    <t>4 Months</t>
  </si>
  <si>
    <t>5 Months</t>
  </si>
  <si>
    <t>Intermediate</t>
  </si>
  <si>
    <t>Bachelors</t>
  </si>
  <si>
    <t>Maters</t>
  </si>
  <si>
    <t>Name of the University:</t>
  </si>
  <si>
    <t>sub-total</t>
  </si>
  <si>
    <t>sub-total (Faculty)</t>
  </si>
  <si>
    <t>sub-total (Staff)</t>
  </si>
  <si>
    <t>Fee Structure Type 
[Regular / Self-Finance]</t>
  </si>
  <si>
    <t>All other Fees</t>
  </si>
  <si>
    <t>Total Fees per student</t>
  </si>
  <si>
    <r>
      <t xml:space="preserve">Bachelor / Master Programs: </t>
    </r>
    <r>
      <rPr>
        <sz val="11"/>
        <rFont val="Arial"/>
        <family val="2"/>
      </rPr>
      <t>[16 years' Education]</t>
    </r>
  </si>
  <si>
    <r>
      <t xml:space="preserve">MS / Mphil Programs </t>
    </r>
    <r>
      <rPr>
        <sz val="11"/>
        <rFont val="Arial"/>
        <family val="2"/>
      </rPr>
      <t>[18 years' Education]</t>
    </r>
  </si>
  <si>
    <t>Doctorate / PhD Programs</t>
  </si>
  <si>
    <t>Program-wise Fee Structure (per student) - Annual</t>
  </si>
  <si>
    <t xml:space="preserve">Title of Academic Programs </t>
  </si>
  <si>
    <t>Management Sci.</t>
  </si>
  <si>
    <t>Computer Sci. / IT</t>
  </si>
  <si>
    <t>Basic,Natural etc.</t>
  </si>
  <si>
    <t>Agriculture Sci.</t>
  </si>
  <si>
    <t>Veterinary Sci.</t>
  </si>
  <si>
    <t xml:space="preserve">Regular </t>
  </si>
  <si>
    <t>Social Sci.</t>
  </si>
  <si>
    <t>Major Discipline Category</t>
  </si>
  <si>
    <t>Self-Fin.</t>
  </si>
  <si>
    <t>Arts,Humnt.</t>
  </si>
  <si>
    <t>C0281380</t>
  </si>
  <si>
    <t>HEC-107 (e)</t>
  </si>
  <si>
    <t>Ratios and Indicators</t>
  </si>
  <si>
    <t>Budget Analysis and Key Finanical Indicators</t>
  </si>
  <si>
    <t xml:space="preserve">6.  Total Faculty </t>
  </si>
  <si>
    <t>7.  Total Administrative Staff</t>
  </si>
  <si>
    <t>8.  Total Enrollment</t>
  </si>
  <si>
    <t>9.  Total Number of Academic Programs</t>
  </si>
  <si>
    <t>10.  Key Ratios:</t>
  </si>
  <si>
    <t>11.  Potential Risk - Cost of Reitrement Benefits:</t>
  </si>
  <si>
    <r>
      <rPr>
        <b/>
        <sz val="11.5"/>
        <color rgb="FF000000"/>
        <rFont val="Garamond"/>
        <family val="1"/>
      </rPr>
      <t>a.</t>
    </r>
    <r>
      <rPr>
        <sz val="11.5"/>
        <color rgb="FF000000"/>
        <rFont val="Garamond"/>
        <family val="1"/>
      </rPr>
      <t xml:space="preserve">  Faculty  :  Staff Ratio</t>
    </r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</si>
  <si>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Faculty :  Student Ratio</t>
    </r>
  </si>
  <si>
    <r>
      <rPr>
        <b/>
        <sz val="11.5"/>
        <color rgb="FF000000"/>
        <rFont val="Garamond"/>
        <family val="1"/>
      </rPr>
      <t>c.</t>
    </r>
    <r>
      <rPr>
        <sz val="11.5"/>
        <color rgb="FF000000"/>
        <rFont val="Garamond"/>
        <family val="1"/>
      </rPr>
      <t xml:space="preserve">  Self-Generated Income as % of total Resources</t>
    </r>
  </si>
  <si>
    <r>
      <rPr>
        <b/>
        <sz val="11.5"/>
        <color rgb="FF000000"/>
        <rFont val="Garamond"/>
        <family val="1"/>
      </rPr>
      <t xml:space="preserve">d. </t>
    </r>
    <r>
      <rPr>
        <sz val="11.5"/>
        <color rgb="FF000000"/>
        <rFont val="Garamond"/>
        <family val="1"/>
      </rPr>
      <t xml:space="preserve"> Self-Generated Income as % of total Expenditures</t>
    </r>
  </si>
  <si>
    <r>
      <rPr>
        <b/>
        <sz val="11.5"/>
        <color rgb="FF000000"/>
        <rFont val="Garamond"/>
        <family val="1"/>
      </rPr>
      <t xml:space="preserve">e. </t>
    </r>
    <r>
      <rPr>
        <sz val="11.5"/>
        <color rgb="FF000000"/>
        <rFont val="Garamond"/>
        <family val="1"/>
      </rPr>
      <t xml:space="preserve"> Recurring Grant as %age of total Expenditures </t>
    </r>
  </si>
  <si>
    <r>
      <rPr>
        <b/>
        <sz val="11.5"/>
        <color rgb="FF000000"/>
        <rFont val="Garamond"/>
        <family val="1"/>
      </rPr>
      <t>g.</t>
    </r>
    <r>
      <rPr>
        <sz val="11.5"/>
        <color rgb="FF000000"/>
        <rFont val="Garamond"/>
        <family val="1"/>
      </rPr>
      <t xml:space="preserve">  Salary as % of Total Expenditure</t>
    </r>
  </si>
  <si>
    <r>
      <rPr>
        <b/>
        <sz val="11"/>
        <color rgb="FF000000"/>
        <rFont val="Garamond"/>
        <family val="1"/>
      </rPr>
      <t xml:space="preserve">a. </t>
    </r>
    <r>
      <rPr>
        <sz val="11"/>
        <color rgb="FF000000"/>
        <rFont val="Garamond"/>
        <family val="1"/>
      </rPr>
      <t xml:space="preserve">  Annual Pension Payments                     [Million Rs.]</t>
    </r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</si>
  <si>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 Non-PhD</t>
    </r>
  </si>
  <si>
    <r>
      <rPr>
        <b/>
        <sz val="11.5"/>
        <color rgb="FF000000"/>
        <rFont val="Garamond"/>
        <family val="1"/>
      </rPr>
      <t xml:space="preserve">a. </t>
    </r>
    <r>
      <rPr>
        <sz val="11.5"/>
        <color rgb="FF000000"/>
        <rFont val="Garamond"/>
        <family val="1"/>
      </rPr>
      <t xml:space="preserve">  PhD</t>
    </r>
  </si>
  <si>
    <r>
      <rPr>
        <b/>
        <sz val="11.5"/>
        <color rgb="FF000000"/>
        <rFont val="Garamond"/>
        <family val="1"/>
      </rPr>
      <t xml:space="preserve">a.   </t>
    </r>
    <r>
      <rPr>
        <sz val="11.5"/>
        <color rgb="FF000000"/>
        <rFont val="Garamond"/>
        <family val="1"/>
      </rPr>
      <t>Officers (BPS 17 and above)</t>
    </r>
  </si>
  <si>
    <r>
      <rPr>
        <b/>
        <sz val="11.5"/>
        <color rgb="FF000000"/>
        <rFont val="Garamond"/>
        <family val="1"/>
      </rPr>
      <t xml:space="preserve">c.   </t>
    </r>
    <r>
      <rPr>
        <sz val="11.5"/>
        <color rgb="FF000000"/>
        <rFont val="Garamond"/>
        <family val="1"/>
      </rPr>
      <t>Allied Staff (BPS 1 to 5)</t>
    </r>
  </si>
  <si>
    <r>
      <rPr>
        <b/>
        <sz val="11.5"/>
        <color rgb="FF000000"/>
        <rFont val="Garamond"/>
        <family val="1"/>
      </rPr>
      <t xml:space="preserve">b.   </t>
    </r>
    <r>
      <rPr>
        <sz val="11.5"/>
        <color rgb="FF000000"/>
        <rFont val="Garamond"/>
        <family val="1"/>
      </rPr>
      <t>Allied Staff (BPS 6 to 16)</t>
    </r>
  </si>
  <si>
    <r>
      <rPr>
        <b/>
        <sz val="12"/>
        <color rgb="FF000000"/>
        <rFont val="Garamond"/>
        <family val="1"/>
      </rPr>
      <t>1.  Cost Per Student</t>
    </r>
    <r>
      <rPr>
        <sz val="12"/>
        <color rgb="FF000000"/>
        <rFont val="Garamond"/>
        <family val="1"/>
      </rPr>
      <t xml:space="preserve">                   </t>
    </r>
    <r>
      <rPr>
        <sz val="11"/>
        <color rgb="FF000000"/>
        <rFont val="Garamond"/>
        <family val="1"/>
      </rPr>
      <t xml:space="preserve">      [in Rupees]</t>
    </r>
  </si>
  <si>
    <r>
      <rPr>
        <b/>
        <sz val="12"/>
        <color rgb="FF000000"/>
        <rFont val="Garamond"/>
        <family val="1"/>
      </rPr>
      <t>2.</t>
    </r>
    <r>
      <rPr>
        <sz val="12"/>
        <color rgb="FF000000"/>
        <rFont val="Garamond"/>
        <family val="1"/>
      </rPr>
      <t xml:space="preserve">  Recurring Grant Per Student    </t>
    </r>
    <r>
      <rPr>
        <sz val="11"/>
        <color rgb="FF000000"/>
        <rFont val="Garamond"/>
        <family val="1"/>
      </rPr>
      <t xml:space="preserve"> [in Rupees]</t>
    </r>
  </si>
  <si>
    <r>
      <rPr>
        <b/>
        <sz val="12"/>
        <color rgb="FF000000"/>
        <rFont val="Garamond"/>
        <family val="1"/>
      </rPr>
      <t xml:space="preserve">4.  </t>
    </r>
    <r>
      <rPr>
        <sz val="12"/>
        <color rgb="FF000000"/>
        <rFont val="Garamond"/>
        <family val="1"/>
      </rPr>
      <t xml:space="preserve">Fees Income Per Student        </t>
    </r>
    <r>
      <rPr>
        <sz val="11"/>
        <color rgb="FF000000"/>
        <rFont val="Garamond"/>
        <family val="1"/>
      </rPr>
      <t xml:space="preserve">  [in Rupees]</t>
    </r>
  </si>
  <si>
    <r>
      <rPr>
        <b/>
        <sz val="11.5"/>
        <color rgb="FF000000"/>
        <rFont val="Garamond"/>
        <family val="1"/>
      </rPr>
      <t xml:space="preserve">a. </t>
    </r>
    <r>
      <rPr>
        <sz val="11.5"/>
        <color rgb="FF000000"/>
        <rFont val="Garamond"/>
        <family val="1"/>
      </rPr>
      <t xml:space="preserve"> Bachellors / Masters</t>
    </r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</si>
  <si>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MS / MPhil</t>
    </r>
  </si>
  <si>
    <r>
      <rPr>
        <b/>
        <sz val="11.5"/>
        <color rgb="FF000000"/>
        <rFont val="Garamond"/>
        <family val="1"/>
      </rPr>
      <t>c.</t>
    </r>
    <r>
      <rPr>
        <sz val="11.5"/>
        <color rgb="FF000000"/>
        <rFont val="Garamond"/>
        <family val="1"/>
      </rPr>
      <t xml:space="preserve">  PhD</t>
    </r>
  </si>
  <si>
    <r>
      <rPr>
        <b/>
        <sz val="12"/>
        <color rgb="FF000000"/>
        <rFont val="Garamond"/>
        <family val="1"/>
      </rPr>
      <t xml:space="preserve">3. </t>
    </r>
    <r>
      <rPr>
        <sz val="12"/>
        <color rgb="FF000000"/>
        <rFont val="Garamond"/>
        <family val="1"/>
      </rPr>
      <t xml:space="preserve"> Total Own Income Per Student</t>
    </r>
    <r>
      <rPr>
        <sz val="11"/>
        <color rgb="FF000000"/>
        <rFont val="Garamond"/>
        <family val="1"/>
      </rPr>
      <t xml:space="preserve"> [in Rupees]</t>
    </r>
  </si>
  <si>
    <r>
      <rPr>
        <b/>
        <sz val="11"/>
        <color rgb="FF000000"/>
        <rFont val="Garamond"/>
        <family val="1"/>
      </rPr>
      <t>b.</t>
    </r>
    <r>
      <rPr>
        <sz val="11"/>
        <color rgb="FF000000"/>
        <rFont val="Garamond"/>
        <family val="1"/>
      </rPr>
      <t xml:space="preserve">  Actuarial Valuation of 'Pension Liability' [Million Rs.]</t>
    </r>
  </si>
  <si>
    <r>
      <rPr>
        <b/>
        <sz val="11"/>
        <color rgb="FF000000"/>
        <rFont val="Garamond"/>
        <family val="1"/>
      </rPr>
      <t xml:space="preserve">c.  </t>
    </r>
    <r>
      <rPr>
        <sz val="11"/>
        <color rgb="FF000000"/>
        <rFont val="Garamond"/>
        <family val="1"/>
      </rPr>
      <t>Amount Available in Pension Fund        [Million Rs.]</t>
    </r>
  </si>
  <si>
    <r>
      <rPr>
        <b/>
        <sz val="11"/>
        <color rgb="FF000000"/>
        <rFont val="Garamond"/>
        <family val="1"/>
      </rPr>
      <t xml:space="preserve">d.  </t>
    </r>
    <r>
      <rPr>
        <sz val="11"/>
        <color rgb="FF000000"/>
        <rFont val="Garamond"/>
        <family val="1"/>
      </rPr>
      <t>Asset / Funding Gap [(11(</t>
    </r>
    <r>
      <rPr>
        <b/>
        <sz val="11"/>
        <color rgb="FF000000"/>
        <rFont val="Garamond"/>
        <family val="1"/>
      </rPr>
      <t>b</t>
    </r>
    <r>
      <rPr>
        <sz val="11"/>
        <color rgb="FF000000"/>
        <rFont val="Garamond"/>
        <family val="1"/>
      </rPr>
      <t>) -11(</t>
    </r>
    <r>
      <rPr>
        <b/>
        <sz val="11"/>
        <color rgb="FF000000"/>
        <rFont val="Garamond"/>
        <family val="1"/>
      </rPr>
      <t>c</t>
    </r>
    <r>
      <rPr>
        <sz val="11"/>
        <color rgb="FF000000"/>
        <rFont val="Garamond"/>
        <family val="1"/>
      </rPr>
      <t>)]      [Million Rs.]</t>
    </r>
  </si>
  <si>
    <r>
      <rPr>
        <b/>
        <sz val="11"/>
        <color rgb="FF000000"/>
        <rFont val="Garamond"/>
        <family val="1"/>
      </rPr>
      <t xml:space="preserve">e. </t>
    </r>
    <r>
      <rPr>
        <sz val="11"/>
        <color rgb="FF000000"/>
        <rFont val="Garamond"/>
        <family val="1"/>
      </rPr>
      <t>Annual Contributions to Pension Fund    [Million Rs]</t>
    </r>
  </si>
  <si>
    <t>HEC-106</t>
  </si>
  <si>
    <r>
      <t xml:space="preserve">AVERAGE FEES PER STUDENT - </t>
    </r>
    <r>
      <rPr>
        <b/>
        <sz val="12"/>
        <color rgb="FFC00000"/>
        <rFont val="Arial"/>
        <family val="2"/>
      </rPr>
      <t>ANNUAL</t>
    </r>
  </si>
  <si>
    <t>Course Fees -  'Post-Graduate Diploma'</t>
  </si>
  <si>
    <t>C0281381</t>
  </si>
  <si>
    <t>C0281382</t>
  </si>
  <si>
    <t>Course Fees -  'Diploma Courses - Others'</t>
  </si>
  <si>
    <t>Course Fees -  'Special / Short Courses'</t>
  </si>
  <si>
    <t>new added</t>
  </si>
  <si>
    <t>Million Rupees</t>
  </si>
  <si>
    <t>Enrollment &amp; Annual Income from Post Graduate Diploma /
 Diploma and other Special Courses</t>
  </si>
  <si>
    <t>Other Diploma Courses:</t>
  </si>
  <si>
    <r>
      <rPr>
        <b/>
        <sz val="11.5"/>
        <color rgb="FF000000"/>
        <rFont val="Garamond"/>
        <family val="1"/>
      </rPr>
      <t>d.</t>
    </r>
    <r>
      <rPr>
        <sz val="11.5"/>
        <color rgb="FF000000"/>
        <rFont val="Garamond"/>
        <family val="1"/>
      </rPr>
      <t xml:space="preserve">  PGD (1 year &amp; 2 years duration only)</t>
    </r>
  </si>
  <si>
    <t>Title of Regular Post Graduate Diploma &amp; Other Special Courses</t>
  </si>
  <si>
    <t>1 year</t>
  </si>
  <si>
    <t>Entry Requirement</t>
  </si>
  <si>
    <t>14 years' Education</t>
  </si>
  <si>
    <t>Other Special and Short Courses:</t>
  </si>
  <si>
    <t>Continuing Professional Devleopment Courses for Business &amp; Community:</t>
  </si>
  <si>
    <t>Continuing Education Courses for Business &amp; Community:</t>
  </si>
  <si>
    <r>
      <t xml:space="preserve">Annual Income
</t>
    </r>
    <r>
      <rPr>
        <sz val="8"/>
        <color rgb="FFC00000"/>
        <rFont val="Arial"/>
        <family val="2"/>
      </rPr>
      <t>[Millions]</t>
    </r>
  </si>
  <si>
    <t>12 years' Education</t>
  </si>
  <si>
    <t>9 Months</t>
  </si>
  <si>
    <t>2 Months</t>
  </si>
  <si>
    <t>1 Month</t>
  </si>
  <si>
    <t>Director Finance/Treasurer</t>
  </si>
  <si>
    <t>Registrar / Director QEC</t>
  </si>
  <si>
    <r>
      <t xml:space="preserve">Total Enrollment
</t>
    </r>
    <r>
      <rPr>
        <sz val="8"/>
        <color rgb="FF002060"/>
        <rFont val="Arial"/>
        <family val="2"/>
      </rPr>
      <t>[Numbers]</t>
    </r>
  </si>
  <si>
    <t>(Select from list)</t>
  </si>
  <si>
    <t>Duration</t>
  </si>
  <si>
    <t>&lt; 12 year Education</t>
  </si>
  <si>
    <t>None</t>
  </si>
  <si>
    <r>
      <t xml:space="preserve">Post Graduate Diploma -  </t>
    </r>
    <r>
      <rPr>
        <sz val="11"/>
        <rFont val="Arial"/>
        <family val="2"/>
      </rPr>
      <t>(1 year &amp; 2 years duration only)</t>
    </r>
    <r>
      <rPr>
        <b/>
        <sz val="11"/>
        <rFont val="Arial"/>
        <family val="2"/>
      </rPr>
      <t>:</t>
    </r>
  </si>
  <si>
    <t>HEC-107</t>
  </si>
  <si>
    <t>Total (i)</t>
  </si>
  <si>
    <t>Total (ii)</t>
  </si>
  <si>
    <t>Grand Total (i) + (ii)</t>
  </si>
  <si>
    <r>
      <rPr>
        <b/>
        <sz val="12"/>
        <color rgb="FF000000"/>
        <rFont val="Garamond"/>
        <family val="1"/>
      </rPr>
      <t>5.</t>
    </r>
    <r>
      <rPr>
        <sz val="12"/>
        <color rgb="FF000000"/>
        <rFont val="Garamond"/>
        <family val="1"/>
      </rPr>
      <t xml:space="preserve">  Provincial Recurring Support [</t>
    </r>
    <r>
      <rPr>
        <sz val="11"/>
        <color rgb="FF000000"/>
        <rFont val="Garamond"/>
        <family val="1"/>
      </rPr>
      <t>Per Student (if any)</t>
    </r>
    <r>
      <rPr>
        <sz val="12"/>
        <color rgb="FF000000"/>
        <rFont val="Garamond"/>
        <family val="1"/>
      </rPr>
      <t>]</t>
    </r>
  </si>
  <si>
    <r>
      <rPr>
        <b/>
        <sz val="11"/>
        <color rgb="FF000000"/>
        <rFont val="Garamond"/>
        <family val="1"/>
      </rPr>
      <t xml:space="preserve">a.  </t>
    </r>
    <r>
      <rPr>
        <sz val="11"/>
        <color rgb="FF000000"/>
        <rFont val="Garamond"/>
        <family val="1"/>
      </rPr>
      <t>Salary Expense Basis                  [in Rupees]</t>
    </r>
  </si>
  <si>
    <r>
      <rPr>
        <b/>
        <sz val="11"/>
        <color rgb="FF000000"/>
        <rFont val="Garamond"/>
        <family val="1"/>
      </rPr>
      <t xml:space="preserve">b.  </t>
    </r>
    <r>
      <rPr>
        <sz val="11"/>
        <color rgb="FF000000"/>
        <rFont val="Garamond"/>
        <family val="1"/>
      </rPr>
      <t xml:space="preserve">Non-Salary Expense Basis         [in Rupees] </t>
    </r>
  </si>
  <si>
    <t>[Million Rs.]</t>
  </si>
  <si>
    <t>4. Expenditure Break-up:</t>
  </si>
  <si>
    <t>Impact of Vacant Posts Included in Estimates</t>
  </si>
  <si>
    <t>Impact of Planned Hiring during the Year</t>
  </si>
  <si>
    <t>Incremental impact of filled posts - Annual</t>
  </si>
  <si>
    <t>Salary of Officers &amp; staff -All Non-Teaching Departt:</t>
  </si>
  <si>
    <t xml:space="preserve">Headwise detail of Non-Salary Expenditure </t>
  </si>
  <si>
    <t>Total Non-Salary Expenses</t>
  </si>
  <si>
    <t>Million Rs.</t>
  </si>
  <si>
    <t>[Rupees in Million]</t>
  </si>
  <si>
    <t>G.</t>
  </si>
  <si>
    <t>A0397007</t>
  </si>
  <si>
    <t>A0397008</t>
  </si>
  <si>
    <t> ii. Operational Cost of Quality Enhancement 
    Cell (QEC)</t>
  </si>
  <si>
    <t> iv. Conduct of Examinations</t>
  </si>
  <si>
    <t> v. Sports Activities</t>
  </si>
  <si>
    <t> vii. Remuneration to Part-
     time Teachers / Visiting Faculty</t>
  </si>
  <si>
    <t> i. Operational Cost- Office of Research 
    Innovation &amp; Commercialization (ORIC)</t>
  </si>
  <si>
    <t> iii. Operational Cost of Financial Aid 
      Development Office (FADO)</t>
  </si>
  <si>
    <t>A0124408</t>
  </si>
  <si>
    <t>A0124409</t>
  </si>
  <si>
    <t>All Other Fees</t>
  </si>
  <si>
    <t>Hostel / User Charges, etc.</t>
  </si>
  <si>
    <r>
      <rPr>
        <b/>
        <sz val="11.5"/>
        <color rgb="FF000000"/>
        <rFont val="Garamond"/>
        <family val="1"/>
      </rPr>
      <t>f.</t>
    </r>
    <r>
      <rPr>
        <sz val="11.5"/>
        <color rgb="FF000000"/>
        <rFont val="Garamond"/>
        <family val="1"/>
      </rPr>
      <t xml:space="preserve">   Students Fees as % of Cost per student</t>
    </r>
  </si>
  <si>
    <t>Basic, Natural Sci. etc.</t>
  </si>
  <si>
    <t>S. No.</t>
  </si>
  <si>
    <t>Summarized Budget Profile</t>
  </si>
  <si>
    <t>106 (a)</t>
  </si>
  <si>
    <t>106 (b)</t>
  </si>
  <si>
    <t>107 (a)</t>
  </si>
  <si>
    <t>107 (b)</t>
  </si>
  <si>
    <t>107 (c)</t>
  </si>
  <si>
    <t>107(d)</t>
  </si>
  <si>
    <t>Financial Data &amp; Indicators</t>
  </si>
  <si>
    <t>Budget Analysis and Key Financial Indicators</t>
  </si>
  <si>
    <t>Miscellaneous Information</t>
  </si>
  <si>
    <t>Nominal Roll- Employee wise detail of Pay &amp; Allowances</t>
  </si>
  <si>
    <t xml:space="preserve">Academic Programs, Fee Structure and Student Enrolment </t>
  </si>
  <si>
    <t>Faculty &amp; Staff Strength</t>
  </si>
  <si>
    <t>HEC-113</t>
  </si>
  <si>
    <t>Registrar</t>
  </si>
  <si>
    <t>HEC-114</t>
  </si>
  <si>
    <t>107</t>
  </si>
  <si>
    <t>Enrollment &amp; Annual Income from Post Graduate Diploma /
Diploma and other Special Courses</t>
  </si>
  <si>
    <t>Proforma #</t>
  </si>
  <si>
    <t>Proforma Title</t>
  </si>
  <si>
    <t>Functioning of Statutory Bodies and Incumbancy Status of Key Administrative Offices</t>
  </si>
  <si>
    <t>107 (e)</t>
  </si>
  <si>
    <t>2017-18</t>
  </si>
  <si>
    <t>Patent Filing Support</t>
  </si>
  <si>
    <t>Other Operational Expenses</t>
  </si>
  <si>
    <t>102 (a)</t>
  </si>
  <si>
    <t>102 (b)</t>
  </si>
  <si>
    <t>HEC-102 (b)</t>
  </si>
  <si>
    <t>Key Result Areas</t>
  </si>
  <si>
    <t>Sr.#</t>
  </si>
  <si>
    <t>Key Performance Indicators</t>
  </si>
  <si>
    <t>Targets for the Year</t>
  </si>
  <si>
    <t>2016-17</t>
  </si>
  <si>
    <t>2018-19</t>
  </si>
  <si>
    <t>Responsibility Assigned to:</t>
  </si>
  <si>
    <t>SIGNATURE:</t>
  </si>
  <si>
    <t>VICE CHANCELLOR/RECTOR/
HEAD OF INSTITUTION</t>
  </si>
  <si>
    <t>Number of Academic Programs:</t>
  </si>
  <si>
    <t>HEC-105(a)</t>
  </si>
  <si>
    <t xml:space="preserve">Networking for Linkages </t>
  </si>
  <si>
    <t>Events Support</t>
  </si>
  <si>
    <t>A.   Office of Research, Innovation and Commercialization (ORIC):</t>
  </si>
  <si>
    <t>Number of Teaching Departments:</t>
  </si>
  <si>
    <t>Age of the University/Institution:</t>
  </si>
  <si>
    <t>Research Commercialization - Marketing Cost</t>
  </si>
  <si>
    <t>Director (ORIC)</t>
  </si>
  <si>
    <t>Treasurer/Director Finance</t>
  </si>
  <si>
    <t>Trainings &amp; Workshops, etc.</t>
  </si>
  <si>
    <t>B.   Quality Enhancement Cell (QEC):</t>
  </si>
  <si>
    <t>C.   Financial Aid Development Office (FAD):</t>
  </si>
  <si>
    <t>Director (QEC)</t>
  </si>
  <si>
    <t>Director (FAD)</t>
  </si>
  <si>
    <t>Budget  Heads    [Non-Salary]</t>
  </si>
  <si>
    <t>Budgetary Allocations for Special Initiatives:</t>
  </si>
  <si>
    <t>105(a)</t>
  </si>
  <si>
    <t>2019-20</t>
  </si>
  <si>
    <t xml:space="preserve">Headwise detail of Non-Salary Expenditures </t>
  </si>
  <si>
    <t>Trend</t>
  </si>
  <si>
    <t>Total  Available Funding  (Million Rs):</t>
  </si>
  <si>
    <t>i.   Recurirng Grants (all sources):</t>
  </si>
  <si>
    <t>ii.  Development Grants (all sources):</t>
  </si>
  <si>
    <t>Adhoc.R Allowance 2016 - 10%</t>
  </si>
  <si>
    <t>Adhoc.R Allowance 2017 - 10%</t>
  </si>
  <si>
    <t>Special Addl: Allowance 2013 - 20%</t>
  </si>
  <si>
    <t>A0124404</t>
  </si>
  <si>
    <t>Adhoc.R Allowance 2010 - 50%</t>
  </si>
  <si>
    <t>Last FY 
2017-18</t>
  </si>
  <si>
    <t>Base line Status in 2016-17</t>
  </si>
  <si>
    <t>Target Achieved in 2017-18</t>
  </si>
  <si>
    <t>Total Enrollment (2017-18):</t>
  </si>
  <si>
    <t>PhD Faculty (2017-18):</t>
  </si>
  <si>
    <t>iii. Total Self-Generated Revenues:</t>
  </si>
  <si>
    <t>2020-21</t>
  </si>
  <si>
    <t xml:space="preserve">2018-19 </t>
  </si>
  <si>
    <t>2015-16</t>
  </si>
  <si>
    <t xml:space="preserve"> Key Performance Indicators (KPIs) of the University / Institution
and Targets for 3 Years - 2018 to 21</t>
  </si>
  <si>
    <r>
      <t xml:space="preserve">Monitoring Protocol - </t>
    </r>
    <r>
      <rPr>
        <sz val="11"/>
        <color theme="1"/>
        <rFont val="Garamond"/>
        <family val="1"/>
      </rPr>
      <t xml:space="preserve">
Basis of External Verification - reports, etc.</t>
    </r>
  </si>
  <si>
    <t>Status for CFY 2018-19</t>
  </si>
  <si>
    <t>Projected in FY 2019-20</t>
  </si>
  <si>
    <t>2019-20
Budget Estimates</t>
  </si>
  <si>
    <t>CFY 2018-19</t>
  </si>
  <si>
    <t xml:space="preserve">Planned for next FY 2019-20 </t>
  </si>
  <si>
    <t>Planned for next FY 2019-20</t>
  </si>
  <si>
    <t>Planned Fees for
 next Fy 2019-20</t>
  </si>
  <si>
    <t>Academic Programs and Targeted Student Enrollment - 2019-20
[Enrolled under Regular Fee Structure]</t>
  </si>
  <si>
    <t>Annual Income from Projected Students in FY 2019-20
[Enrolled under Regular Fee Structure]</t>
  </si>
  <si>
    <t xml:space="preserve"> Targeted  for 
next FY 2019-20</t>
  </si>
  <si>
    <t>Status during current year 2018-19</t>
  </si>
  <si>
    <t>Status during current FY 2018-19</t>
  </si>
  <si>
    <t>Existing  Fy 2018-19</t>
  </si>
  <si>
    <t>Academic Programs and Existing Student Enrolment - 2018-19
[Enrolled under Regular Fee Structure]</t>
  </si>
  <si>
    <t>Existing Student Enrolment (2018-19)</t>
  </si>
  <si>
    <t>Academic Programs and Existing Student Enrolment - 2018-19
[Enrolled under Self-Finance Fee Structure]</t>
  </si>
  <si>
    <t>Annual Income from Existing Students - 2018-19
[Enrolled under Regular Fee Structure]</t>
  </si>
  <si>
    <t>Annual Income from Existing Students (2018-19)</t>
  </si>
  <si>
    <t>Annual Income from Existing Students - 2018-19
[Enrolled under Self-Finance Fee Structure]</t>
  </si>
  <si>
    <t>Current FY
 2018-19</t>
  </si>
  <si>
    <t xml:space="preserve"> 2017-18 
Actual</t>
  </si>
  <si>
    <t>Consolidated and Discipline-wise Faculty Strength
 for next FY 2019-20, CFY 2018-19, and last FY 2017-18</t>
  </si>
  <si>
    <t>Status during last FY 2017-18</t>
  </si>
  <si>
    <t>During last Fy 2017-18</t>
  </si>
  <si>
    <t>2019-20
(Budget 
Estimates)</t>
  </si>
  <si>
    <t>Adhoc.R Allowance 2018 - 10%</t>
  </si>
  <si>
    <t>A0124410</t>
  </si>
  <si>
    <t>University's Total Portfolio of Financial Aid to Students:  2018-19</t>
  </si>
  <si>
    <t>[Amount in Rupees]</t>
  </si>
  <si>
    <t>Institution's Key Peformance Indicators for 3 Years (2018 to 2021)</t>
  </si>
  <si>
    <t>HEAD-WISE DETAIL OF SELF-GENERATED REVENUES</t>
  </si>
  <si>
    <t>Headwise detail of Self-Generated Revenues</t>
  </si>
  <si>
    <t>Budgetary Allocation for ORIC,QEC, FAD</t>
  </si>
  <si>
    <t>Academic Programs and Targeted Student Enrollment - 2019-20
[Enrolled under Regular &amp; Self Finance Fee Structure]</t>
  </si>
  <si>
    <t>Annual Income from Projected Students in FY 2019-20 [Enrolled under Regular &amp; Self Finance Fee Structure]</t>
  </si>
  <si>
    <t>Nominal Roll- Detail of Pay &amp; Allowances of Faculty, Officers and Staff for next FY 2019-20 (Estimated)</t>
  </si>
  <si>
    <t>Academic Programs and Existing Student Enrolment - 2018-19
[Enrolled under Regular &amp; Self Finance Fee Structure]</t>
  </si>
  <si>
    <t>Annual Income from Existing Students - 2018-19
[Enrolled under Regular &amp; Self Finance Fee Structure]</t>
  </si>
  <si>
    <t>Detail of Pay &amp; Allowances of Faculty, Officers and Staff for current FY 2018-19 (Revised)</t>
  </si>
  <si>
    <t>Non-Academic Officer / Staff Strength - Pay Scale-wise View 
for FYs 2019-20, 2018-19, and  last FY 2017-18</t>
  </si>
  <si>
    <t>Non-Teaching Officer / Staff Strength - Department-wise View 
for FYs 2019-20, 2018-19, and  last FY 2017-18</t>
  </si>
  <si>
    <t>Research Projects, Funding and Publications from University Faculty - Department-wise during  2016 and 2017</t>
  </si>
  <si>
    <r>
      <t xml:space="preserve">Index  -   Proformas for Budget Proposal for next </t>
    </r>
    <r>
      <rPr>
        <b/>
        <sz val="14"/>
        <color rgb="FFCC9900"/>
        <rFont val="Garamond"/>
        <family val="1"/>
      </rPr>
      <t>FY 2019-20</t>
    </r>
  </si>
  <si>
    <t>A0124405</t>
  </si>
  <si>
    <t>Adhoc.R Allowance 2011 to 2015</t>
  </si>
  <si>
    <t>A01279</t>
  </si>
  <si>
    <t>Extra Duty Allowance(Sunday Allowance
20% Extra duty Allowance</t>
  </si>
  <si>
    <t>Others Student Societies</t>
  </si>
  <si>
    <t>Art &amp; Desig</t>
  </si>
  <si>
    <t>Hotel &amp; Tourism Mang</t>
  </si>
  <si>
    <t>I.E.R.</t>
  </si>
  <si>
    <t>IPCS</t>
  </si>
  <si>
    <t>Law College</t>
  </si>
  <si>
    <t>Regional Studies</t>
  </si>
  <si>
    <t>Social Anthropology</t>
  </si>
  <si>
    <t>J.C.W</t>
  </si>
  <si>
    <t>Oriental and Islamc Studies</t>
  </si>
  <si>
    <t>Islamiyat</t>
  </si>
  <si>
    <t xml:space="preserve">Pashto </t>
  </si>
  <si>
    <t>Pashto Academy</t>
  </si>
  <si>
    <t>Urdu</t>
  </si>
  <si>
    <t>Num. &amp; Phy. Sciences</t>
  </si>
  <si>
    <t xml:space="preserve">Mathematics </t>
  </si>
  <si>
    <t>Centre of Disaster Preparedness &amp; Management</t>
  </si>
  <si>
    <t>Centre of Plant Biodiversity</t>
  </si>
  <si>
    <t>Environmental science</t>
  </si>
  <si>
    <t>Institute of Chemical Science</t>
  </si>
  <si>
    <t>Urban &amp; Regional Planning</t>
  </si>
  <si>
    <t>Management and Information Sciences</t>
  </si>
  <si>
    <t>College of Home Economics</t>
  </si>
  <si>
    <t>Instiute of Management Studies</t>
  </si>
  <si>
    <t>Journalism &amp; Mass Communication</t>
  </si>
  <si>
    <t>Library &amp; Information Science</t>
  </si>
  <si>
    <t>Quaid-e-Azam College of Commerce</t>
  </si>
  <si>
    <t>A03970010</t>
  </si>
  <si>
    <t>Payment for Publication of Research
Articlcs - Initiatives for Promotion of Research</t>
  </si>
  <si>
    <t>A03970011</t>
  </si>
  <si>
    <t>Remuneration to Tutors/Resource Person Distance Education</t>
  </si>
  <si>
    <t>A03970012</t>
  </si>
  <si>
    <t>Payment on Account of Self-Support
Scheme</t>
  </si>
  <si>
    <t>A03970013</t>
  </si>
  <si>
    <t>Plants and Flowerposts etc;</t>
  </si>
  <si>
    <t>Concession of Fee</t>
  </si>
  <si>
    <t>Geomatics</t>
  </si>
  <si>
    <t>C02818701</t>
  </si>
  <si>
    <t>Electrcity Charges</t>
  </si>
  <si>
    <t>C02818702</t>
  </si>
  <si>
    <t>Telephone Charges</t>
  </si>
  <si>
    <t>C02818703</t>
  </si>
  <si>
    <t>Water Charge</t>
  </si>
  <si>
    <t>C02818704</t>
  </si>
  <si>
    <t>C01601-04</t>
  </si>
  <si>
    <t>Recovery of House Building Advance etc;</t>
  </si>
  <si>
    <t>Department Fund</t>
  </si>
  <si>
    <t> vi. Remuneration to Thesis Supervisers/Examiner</t>
  </si>
  <si>
    <t>Distance Education</t>
  </si>
  <si>
    <t>School Budget</t>
  </si>
  <si>
    <t>1</t>
  </si>
  <si>
    <t>Receipts</t>
  </si>
  <si>
    <t>2</t>
  </si>
  <si>
    <t>Expenditure</t>
  </si>
  <si>
    <t xml:space="preserve">Total (Deficit) With School </t>
  </si>
  <si>
    <t>Faculty of Arts and Humanities</t>
  </si>
  <si>
    <t>MA Archaeology</t>
  </si>
  <si>
    <t>Master in Arts and Design</t>
  </si>
  <si>
    <t>MA English</t>
  </si>
  <si>
    <t>MA History</t>
  </si>
  <si>
    <t>MA Philosophy</t>
  </si>
  <si>
    <t>Faculty of Islamic and Oreintal Studies</t>
  </si>
  <si>
    <t>MA Arabic</t>
  </si>
  <si>
    <t>MA Islamiyat</t>
  </si>
  <si>
    <t>MA Pashto</t>
  </si>
  <si>
    <t>MA Persian</t>
  </si>
  <si>
    <t>MA Urdu</t>
  </si>
  <si>
    <t>Faculty of Life and Environmental Sc.</t>
  </si>
  <si>
    <t>M.Sc. Botany</t>
  </si>
  <si>
    <t>M.Sc. Chemisty</t>
  </si>
  <si>
    <t>M.Sc. Disaster Preparedness &amp; Management</t>
  </si>
  <si>
    <t>M.Sc. Environmental Sciences</t>
  </si>
  <si>
    <t>M.Sc. Geography</t>
  </si>
  <si>
    <t>M.Sc. Urban and Regional Planning</t>
  </si>
  <si>
    <t>M.Sc. Zoology</t>
  </si>
  <si>
    <t>Faculty of Management and Information Sc.</t>
  </si>
  <si>
    <t>MBA</t>
  </si>
  <si>
    <t>M.Com</t>
  </si>
  <si>
    <t>Master in HRM</t>
  </si>
  <si>
    <t>M.Sc. Home Economics</t>
  </si>
  <si>
    <t>MA Journalism and Mass Communication</t>
  </si>
  <si>
    <t>Master in Library and Information Science</t>
  </si>
  <si>
    <t>MPA</t>
  </si>
  <si>
    <t>Faculty of Physical and Numerical Sciences</t>
  </si>
  <si>
    <t>M.Sc. Computer Science</t>
  </si>
  <si>
    <t>M.Sc. Electornics</t>
  </si>
  <si>
    <t>M.Sc. Mathematics</t>
  </si>
  <si>
    <t>M.Sc. Physics</t>
  </si>
  <si>
    <t>M.Sc. Statistics</t>
  </si>
  <si>
    <t>Faculty of Social Sciences</t>
  </si>
  <si>
    <t>M.Sc. Economics</t>
  </si>
  <si>
    <t>M.Ed.</t>
  </si>
  <si>
    <t>MA International Relations</t>
  </si>
  <si>
    <t>MA Gender Studies</t>
  </si>
  <si>
    <t>LL.B. (5-Year)</t>
  </si>
  <si>
    <t>MA Political Science</t>
  </si>
  <si>
    <t>M.Sc. Psychology</t>
  </si>
  <si>
    <t>MA Regional Studies</t>
  </si>
  <si>
    <t>MA Social Anthropology</t>
  </si>
  <si>
    <t>MA Social Work</t>
  </si>
  <si>
    <t>MA Sociology</t>
  </si>
  <si>
    <t>M.Sc Peace &amp; Confict Studies</t>
  </si>
  <si>
    <t>MA Criminology</t>
  </si>
  <si>
    <r>
      <t xml:space="preserve">Undergraduate Programs: </t>
    </r>
    <r>
      <rPr>
        <sz val="11"/>
        <rFont val="Arial"/>
        <family val="2"/>
      </rPr>
      <t>[16 years' Education]</t>
    </r>
  </si>
  <si>
    <t>BS Urdu</t>
  </si>
  <si>
    <t>BS Botany</t>
  </si>
  <si>
    <t>BS Bio-Technology</t>
  </si>
  <si>
    <t>BS Chemistry</t>
  </si>
  <si>
    <t>BS Disaster Preparedness &amp; Management</t>
  </si>
  <si>
    <t>BS Environmental Sciences</t>
  </si>
  <si>
    <t>BS Geology</t>
  </si>
  <si>
    <t>BS Geography</t>
  </si>
  <si>
    <t>BS Microbiology</t>
  </si>
  <si>
    <t>Pharm D</t>
  </si>
  <si>
    <t>BS Urban &amp; Regional Planning</t>
  </si>
  <si>
    <t>BS Zoology</t>
  </si>
  <si>
    <t>BBA</t>
  </si>
  <si>
    <t>BS Commerce</t>
  </si>
  <si>
    <t>B.Sc. Home Economics</t>
  </si>
  <si>
    <t>BS Home Economics</t>
  </si>
  <si>
    <t>BS Computer Science</t>
  </si>
  <si>
    <t>BS Electronics</t>
  </si>
  <si>
    <t>BS Mathematics</t>
  </si>
  <si>
    <t>BS Physics</t>
  </si>
  <si>
    <t>BS Statistics</t>
  </si>
  <si>
    <t>BS Economics</t>
  </si>
  <si>
    <t>B. Ed</t>
  </si>
  <si>
    <t>B. Education</t>
  </si>
  <si>
    <t>BS International Relations</t>
  </si>
  <si>
    <t>BS Gender Studies</t>
  </si>
  <si>
    <t>BS Political Science</t>
  </si>
  <si>
    <t>BS Psychology</t>
  </si>
  <si>
    <t>BS Regional Studies</t>
  </si>
  <si>
    <t>BS Social Work</t>
  </si>
  <si>
    <t>BS Sociology</t>
  </si>
  <si>
    <t xml:space="preserve">Ph.D/Mphil/MS </t>
  </si>
  <si>
    <t>BS Arts and Design</t>
  </si>
  <si>
    <t>BS Archaeology</t>
  </si>
  <si>
    <t>BS English and Applied Linguistic</t>
  </si>
  <si>
    <t>BS Philosophy</t>
  </si>
  <si>
    <t>BS Islamiyat</t>
  </si>
  <si>
    <t>2a</t>
  </si>
  <si>
    <t>Bio-Techology</t>
  </si>
  <si>
    <t xml:space="preserve"> Microbiology</t>
  </si>
  <si>
    <t>BS Peace and Conflict Studies</t>
  </si>
  <si>
    <t>Detail of Pay &amp; Allowances of Faculty, Officers and Staff
(Revised Estimates 2018-19)</t>
  </si>
  <si>
    <t>Name of  University / Institute:  UNIVERSITY OF PESHAWAR</t>
  </si>
  <si>
    <t>Any other</t>
  </si>
  <si>
    <t>Fuel</t>
  </si>
  <si>
    <t>Chrgs</t>
  </si>
  <si>
    <t>Teaching</t>
  </si>
  <si>
    <t>Staff</t>
  </si>
  <si>
    <t>Social Sciences Departments</t>
  </si>
  <si>
    <t>Oriental and Islamic Studies</t>
  </si>
  <si>
    <t>Numerical and Physical Sciences</t>
  </si>
  <si>
    <t>Management and Informations Sciences</t>
  </si>
  <si>
    <t>Life and Environmental Sciences</t>
  </si>
  <si>
    <t>Jinnah College for Women</t>
  </si>
  <si>
    <t>Administation</t>
  </si>
  <si>
    <t>Treaching</t>
  </si>
  <si>
    <t>Detail of Pay &amp; Allowances of Faculty, Officers and Staff
(Budget Estimates 2019-20)</t>
  </si>
  <si>
    <t>Consolidated and Discipline-wise Faculty Strength
 for next FY 2018-19, CFY 2017-18, and last FY 2016-17</t>
  </si>
  <si>
    <t>Name of the University: UNIVERSITY OF PESHAWAR</t>
  </si>
  <si>
    <t>Discipline:                             Social Sciences</t>
  </si>
  <si>
    <t>Discipline:                                   Numerical and Physical Sciences</t>
  </si>
  <si>
    <t>Discipline:                             Oriental Studies</t>
  </si>
  <si>
    <t>Discipline:                           Arts and Humanities</t>
  </si>
  <si>
    <t>Discipline:                                           Life and Enviromental Science</t>
  </si>
  <si>
    <t>Discipline:              Management and Information Sciences</t>
  </si>
  <si>
    <t>Discipline:                     Jinnah College for Women</t>
  </si>
  <si>
    <t>Discipline:                       University Model School</t>
  </si>
  <si>
    <t>Discipline:                        University Public School</t>
  </si>
  <si>
    <t>Non-Academic Officer / Staff Strength - Pay Scale-wise View 
for FYs 2018-19, 2017-18, and  2016-17</t>
  </si>
  <si>
    <t>Regular</t>
  </si>
  <si>
    <t>2018-2019</t>
  </si>
  <si>
    <t>2019-2020</t>
  </si>
  <si>
    <t>Non-Teaching Officer / Staff Strength - Department-wise View 
for FYs 2018-19, 2017-18, and  2016-17</t>
  </si>
  <si>
    <t>Total Impact</t>
  </si>
  <si>
    <t>Regular Posts Impact</t>
  </si>
  <si>
    <t>Social Science</t>
  </si>
  <si>
    <t>Oreintal and Islamic Studies</t>
  </si>
  <si>
    <t>University Public School</t>
  </si>
  <si>
    <t>University Model School</t>
  </si>
  <si>
    <t>UNIVERSITY OF PESHAWAR</t>
  </si>
  <si>
    <t>B.SC. JCW</t>
  </si>
  <si>
    <t>China Study Centre</t>
  </si>
  <si>
    <t>* House Rent Include in Salary Figure</t>
  </si>
  <si>
    <t>Detail</t>
  </si>
  <si>
    <t>Administration</t>
  </si>
  <si>
    <t>Non-Teaching</t>
  </si>
  <si>
    <t>M.Sc. Environmental Sciences (Semester</t>
  </si>
  <si>
    <t>M.Sc. Environmental Sciences (Annual)</t>
  </si>
  <si>
    <t xml:space="preserve">LL.B. </t>
  </si>
  <si>
    <r>
      <t xml:space="preserve">Undergraduate Programs: </t>
    </r>
    <r>
      <rPr>
        <sz val="11"/>
        <rFont val="Arial"/>
        <family val="2"/>
      </rPr>
      <t>[16 years' Education] Self Support Fee</t>
    </r>
  </si>
  <si>
    <r>
      <t xml:space="preserve">Bachelor / Master Programs: </t>
    </r>
    <r>
      <rPr>
        <sz val="11"/>
        <color rgb="FFFF0000"/>
        <rFont val="Arial"/>
        <family val="2"/>
      </rPr>
      <t>[16 years' Education] Self Support Fee</t>
    </r>
  </si>
  <si>
    <t>Traning / Seminars / Workshop</t>
  </si>
  <si>
    <t>Director P &amp; D</t>
  </si>
  <si>
    <t>Annual Report</t>
  </si>
  <si>
    <t>Strengthening of Central Library
Through PC - 1 (Amount in Million PKR per Year</t>
  </si>
  <si>
    <t>1.Refurbishment 
2. I.T. Equipment
3. Furniture / Fixtures</t>
  </si>
  <si>
    <t>Project Director MP 4</t>
  </si>
  <si>
    <t>Approval of PC - 1</t>
  </si>
  <si>
    <t>Strengthening of Advance
 Research Lab through PC -1 (Amount in Million PKR per year)</t>
  </si>
  <si>
    <t>Purchase of Research
Equipment</t>
  </si>
  <si>
    <t>Procurement 
Process Completed</t>
  </si>
  <si>
    <t>No. Traning for the HoDs / 
Sectional heads</t>
  </si>
  <si>
    <t>N/A</t>
  </si>
  <si>
    <t>C028184001</t>
  </si>
  <si>
    <t>C028184002</t>
  </si>
  <si>
    <t>C028184003</t>
  </si>
  <si>
    <t>Residental House Rent</t>
  </si>
  <si>
    <t>Shops and Stalls Rent</t>
  </si>
  <si>
    <t>i.Receipts of Guest House</t>
  </si>
  <si>
    <t>ii. Receipts of Offical Guest</t>
  </si>
  <si>
    <t>Consumable</t>
  </si>
  <si>
    <t>Other Occupancey Cost (Official Guest in Guest House</t>
  </si>
  <si>
    <t>A03471</t>
  </si>
  <si>
    <t>Other Occupancey Cost (Expenditure in Bara Gali Campus)</t>
  </si>
  <si>
    <t>ii.Receipts of Bara Gali Campus</t>
  </si>
  <si>
    <t>Bara Gali Campus</t>
  </si>
  <si>
    <t xml:space="preserve">Name of the University / Institution:______UNIVERSITY OF PESHAWAR___________________________________________ </t>
  </si>
  <si>
    <t>Name of the University: ____UNIVERSITY OF PESHAWAR_______________________________________</t>
  </si>
  <si>
    <t>Name of the University:  UNIVERSITY OF PESHAWAR</t>
  </si>
  <si>
    <t>Degree Fee Private and Regular</t>
  </si>
  <si>
    <t>Migration Fee</t>
  </si>
  <si>
    <t>Examination Fees-On Campus Students/Private</t>
  </si>
  <si>
    <t>Targeted Student Enrolment (2019-20)</t>
  </si>
  <si>
    <t>Income from Collaborative Research - Local</t>
  </si>
  <si>
    <t>Income from Collaborative Research - Project 33%</t>
  </si>
  <si>
    <t>Income from Transport</t>
  </si>
  <si>
    <t>Annual Income from Targeted Students - 2019-20
[Enrolled under Self-Finance Fee Structure]</t>
  </si>
  <si>
    <t>Annual Income from Targeted Students (2019-20)</t>
  </si>
  <si>
    <t>Arabic*</t>
  </si>
  <si>
    <t>* Two Months Course</t>
  </si>
  <si>
    <t>Enrollment in Distance Education</t>
  </si>
  <si>
    <t>Director Distance Educations</t>
  </si>
  <si>
    <t>Creating Environment for Research &amp; Innovation</t>
  </si>
  <si>
    <t>Establishment of Incubation Centre</t>
  </si>
  <si>
    <t>In Progress</t>
  </si>
  <si>
    <t>To be established</t>
  </si>
  <si>
    <t>To be funcationalized</t>
  </si>
  <si>
    <t>ORIC</t>
  </si>
  <si>
    <t>Number of Linkages with Industries</t>
  </si>
  <si>
    <t>Number of funded Research Projects</t>
  </si>
  <si>
    <t>Number of Patent application filed</t>
  </si>
  <si>
    <t>Allocation for faculty research</t>
  </si>
  <si>
    <t>Earning through consultancy (in Million PKR)</t>
  </si>
  <si>
    <t>Expenditure on Pakistani Delegations to 
Foreign Countries</t>
  </si>
  <si>
    <t> vi. Remuneration to Thesis Supervisers/ Examiner</t>
  </si>
  <si>
    <t>Income from Continuing Professional Development 
Courses for Business &amp; Community</t>
  </si>
  <si>
    <t>i.</t>
  </si>
  <si>
    <t>* RT</t>
  </si>
  <si>
    <t>Director Admissions</t>
  </si>
  <si>
    <t>Enhance the Equitable Access to Higher Education 
(Student Enrollment)</t>
  </si>
  <si>
    <t>Students Financial Assistance / Scholarship Awarded (Rs. Million)</t>
  </si>
  <si>
    <t>Enrollment of Special Persons</t>
  </si>
  <si>
    <t>One seat each in all undergraduate and master programmes</t>
  </si>
  <si>
    <t>Enhance the Quality of Higher Education</t>
  </si>
  <si>
    <t>Student Teacher Ratio</t>
  </si>
  <si>
    <t>Programmes Accreditation</t>
  </si>
  <si>
    <t>No. of PH.D in Faculty</t>
  </si>
  <si>
    <t>Improvement in Mechanism; No. of Workshops on implementation of updated regulations</t>
  </si>
  <si>
    <t>Registgrar, Deans</t>
  </si>
  <si>
    <t>Registgrar, Deans, HoDs</t>
  </si>
  <si>
    <t>Registrar, Deans, CE, Dir, CHRCD</t>
  </si>
  <si>
    <t>Improve Governance,  Leadership and Fiscal Sustainability</t>
  </si>
  <si>
    <t>Process Covered under ERP</t>
  </si>
  <si>
    <t>Process Covered under CMS</t>
  </si>
  <si>
    <t xml:space="preserve">ERP 90%
</t>
  </si>
  <si>
    <t>CMS 65%</t>
  </si>
  <si>
    <t>CMS 90%</t>
  </si>
  <si>
    <t>CMS 100%</t>
  </si>
  <si>
    <t>ERP Implementation Team</t>
  </si>
  <si>
    <t>CMS Implementation Team</t>
  </si>
  <si>
    <t>Implemented</t>
  </si>
  <si>
    <t xml:space="preserve">ERP 100%
</t>
  </si>
  <si>
    <t>Earning Through Consultancy (Rs. In million PKR)</t>
  </si>
  <si>
    <t>Director ORIC</t>
  </si>
  <si>
    <t>Self Generated Income as percentage Total Resources</t>
  </si>
  <si>
    <t>Treasurer / Hods</t>
  </si>
  <si>
    <t>C0281334</t>
  </si>
  <si>
    <t>Actual for 
6 Months</t>
  </si>
  <si>
    <t>Conveyance Allowance (Special Convey)</t>
  </si>
  <si>
    <t>House Requisition</t>
  </si>
  <si>
    <t>House Subisidy</t>
  </si>
  <si>
    <t>Revised for
6 Months</t>
  </si>
  <si>
    <t>Fund for HEC Need Based Scholarship</t>
  </si>
  <si>
    <t>Departmental Fund</t>
  </si>
  <si>
    <t>j.</t>
  </si>
  <si>
    <t>Others (Safe &amp; Smart University)</t>
  </si>
  <si>
    <t>3</t>
  </si>
  <si>
    <t>Contibation from Class III &amp; IV Employees UOP</t>
  </si>
  <si>
    <t>C02818705</t>
  </si>
  <si>
    <t xml:space="preserve">Department Wise Estimates of Expenditure </t>
  </si>
  <si>
    <t>Rs. in Million</t>
  </si>
  <si>
    <t>S.No.</t>
  </si>
  <si>
    <t>Name of Department</t>
  </si>
  <si>
    <t>POL</t>
  </si>
  <si>
    <t>Printing and Publication</t>
  </si>
  <si>
    <t>Chemicals/ Glassware</t>
  </si>
  <si>
    <t>Other Consum-ables</t>
  </si>
  <si>
    <t>Entertain-ment</t>
  </si>
  <si>
    <t>Repair - 
M &amp; E</t>
  </si>
  <si>
    <t>Contin-
gency</t>
  </si>
  <si>
    <t>A</t>
  </si>
  <si>
    <t>Faculty of Arts &amp; Humanities</t>
  </si>
  <si>
    <t>Art &amp; Design</t>
  </si>
  <si>
    <t>English and Applied Linguistics</t>
  </si>
  <si>
    <t>Hotel and Tourism Management</t>
  </si>
  <si>
    <t>B</t>
  </si>
  <si>
    <t>Faculty of Islamic and Oriental Studies</t>
  </si>
  <si>
    <t>C</t>
  </si>
  <si>
    <t>Faculty of Life and Environmental Science</t>
  </si>
  <si>
    <t xml:space="preserve">Centre of Bio-Technology and Microbiology </t>
  </si>
  <si>
    <t>Centre for Disaster Preparedness &amp; Management</t>
  </si>
  <si>
    <t>Centre for Plant Biodiversity</t>
  </si>
  <si>
    <t>Environmental Sciences</t>
  </si>
  <si>
    <t>Institute of Chemical Sciences</t>
  </si>
  <si>
    <t>D</t>
  </si>
  <si>
    <t>Faculty of Management and Information Sciences</t>
  </si>
  <si>
    <t>Institute of Management Studies</t>
  </si>
  <si>
    <t>Journalism and Mass Communication</t>
  </si>
  <si>
    <t>E</t>
  </si>
  <si>
    <t>Faculty of Numerical and Physical Sciences</t>
  </si>
  <si>
    <t>F</t>
  </si>
  <si>
    <t>Faculty of Social Science</t>
  </si>
  <si>
    <t>Institute of Education and Research</t>
  </si>
  <si>
    <t>Institute of Peace and Conflict Studies</t>
  </si>
  <si>
    <t>G</t>
  </si>
  <si>
    <t>Research Labs</t>
  </si>
  <si>
    <t>Centralized Resource Lab</t>
  </si>
  <si>
    <t>MRL</t>
  </si>
  <si>
    <t>H</t>
  </si>
  <si>
    <t>Colleges</t>
  </si>
  <si>
    <t>University College for Boys</t>
  </si>
  <si>
    <t>I</t>
  </si>
  <si>
    <t>Schools</t>
  </si>
  <si>
    <t>J</t>
  </si>
  <si>
    <t>Museum</t>
  </si>
  <si>
    <t>SSAQ Museum</t>
  </si>
  <si>
    <t>Total ( A to J )</t>
  </si>
  <si>
    <t>K</t>
  </si>
  <si>
    <t>General Administration</t>
  </si>
  <si>
    <t>Stationary</t>
  </si>
  <si>
    <r>
      <rPr>
        <b/>
        <sz val="11.5"/>
        <color rgb="FF000000"/>
        <rFont val="Garamond"/>
        <family val="1"/>
      </rPr>
      <t xml:space="preserve">h. </t>
    </r>
    <r>
      <rPr>
        <sz val="11.5"/>
        <color rgb="FF000000"/>
        <rFont val="Garamond"/>
        <family val="1"/>
      </rPr>
      <t>Pension as % of Total Expenditure</t>
    </r>
  </si>
  <si>
    <r>
      <rPr>
        <b/>
        <sz val="11.5"/>
        <color rgb="FF000000"/>
        <rFont val="Garamond"/>
        <family val="1"/>
      </rPr>
      <t>i.</t>
    </r>
    <r>
      <rPr>
        <sz val="11.5"/>
        <color rgb="FF000000"/>
        <rFont val="Garamond"/>
        <family val="1"/>
      </rPr>
      <t xml:space="preserve">  Non-Salary as % of Total Expenditure</t>
    </r>
  </si>
  <si>
    <t>Self-Support Scheme (all Inclusive)</t>
  </si>
  <si>
    <t>All Other fee</t>
  </si>
  <si>
    <t>C028184004</t>
  </si>
  <si>
    <t>C028184005</t>
  </si>
  <si>
    <t>(School Budget)</t>
  </si>
  <si>
    <t>3(iii)</t>
  </si>
  <si>
    <t>3 (iv) Receipts from Investments</t>
  </si>
  <si>
    <t>3 (ii) Other Venues of Income [3(ii) a - 3(ii) e]</t>
  </si>
  <si>
    <t>e. </t>
  </si>
  <si>
    <t xml:space="preserve"> Other Venues of Income </t>
  </si>
  <si>
    <t>Students Related Income</t>
  </si>
  <si>
    <t>iii. Income from PUTA Hall/PUTF</t>
  </si>
  <si>
    <t>Contribution from Class III &amp; IV Employees UOP</t>
  </si>
  <si>
    <t xml:space="preserve">Others </t>
  </si>
  <si>
    <t>Regular Allowances </t>
  </si>
  <si>
    <t>Overtime Allowance</t>
  </si>
  <si>
    <t>Extra Duty Allowance(Sunday Allowance)
20% Extra duty Allowance</t>
  </si>
  <si>
    <t>Payments made to employees other than salary and allowances</t>
  </si>
  <si>
    <t>PAYMENTS MADE TO EMPLOYEES OTHER THAN SALARY FOR THE FINANCIAL YEAR 2018-2019</t>
  </si>
  <si>
    <t>Per month of Fy 
2018-19</t>
  </si>
  <si>
    <t>Per month of Fy 
2019-20</t>
  </si>
  <si>
    <t>G. Total</t>
  </si>
  <si>
    <t>Actual</t>
  </si>
  <si>
    <t>House Rent</t>
  </si>
  <si>
    <t>A0124411</t>
  </si>
  <si>
    <t>Adhoc.R Allowance 2019 - 10%</t>
  </si>
  <si>
    <t>h.r.h.s</t>
  </si>
  <si>
    <t>Pension &amp; Retireing Benefits</t>
  </si>
  <si>
    <t>Safe &amp; Smart University &amp; CMS</t>
  </si>
  <si>
    <t>CFY 2019-20</t>
  </si>
  <si>
    <t xml:space="preserve"> 2018-19 
Actual</t>
  </si>
  <si>
    <t>2018-19
(Actual)</t>
  </si>
  <si>
    <t>Actual for 
9 Months</t>
  </si>
  <si>
    <t>Other Comensatory Allowance</t>
  </si>
  <si>
    <t>Tuition Fees - Regular Fee Structure( UPS)</t>
  </si>
  <si>
    <t>Tuition Fees - Regular Fee Structure (UMS)</t>
  </si>
  <si>
    <t>Revised for
3 Months</t>
  </si>
  <si>
    <t>2020-21
Estimates</t>
  </si>
  <si>
    <t>Refund Cancellation</t>
  </si>
  <si>
    <t>Actual 2018-19 Estimates &amp; Revised Estimates FY 2019-20 &amp; Budget Estimates FY 2020-21</t>
  </si>
  <si>
    <t>Balance brought forward</t>
  </si>
  <si>
    <t>Cumulative Surplus / Deficit</t>
  </si>
  <si>
    <t>Deficit (1+2-3)</t>
  </si>
  <si>
    <t>1.     Total Grants &amp; Donations [a - f]</t>
  </si>
  <si>
    <t>2 (i)    Students Related Income 3(i) a - 3(a) f</t>
  </si>
  <si>
    <t>Financial support on account Lock-drown due to COVID-19</t>
  </si>
  <si>
    <t xml:space="preserve">D </t>
  </si>
  <si>
    <t>2020-21
Estimates
UPS</t>
  </si>
  <si>
    <t>2020-21
Estimates
UMS</t>
  </si>
</sst>
</file>

<file path=xl/styles.xml><?xml version="1.0" encoding="utf-8"?>
<styleSheet xmlns="http://schemas.openxmlformats.org/spreadsheetml/2006/main">
  <numFmts count="1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  <numFmt numFmtId="167" formatCode="_(* #,##0.0_);_(* \(#,##0.0\);_(* &quot;-&quot;??_);_(@_)"/>
    <numFmt numFmtId="168" formatCode="0.0"/>
    <numFmt numFmtId="169" formatCode="0.00_)"/>
    <numFmt numFmtId="170" formatCode="#,##0\ [$€-1];[Red]\-#,##0\ [$€-1]"/>
    <numFmt numFmtId="171" formatCode="#,##0;[Red]#,##0"/>
    <numFmt numFmtId="172" formatCode="_(* #,##0.000_);_(* \(#,##0.000\);_(* &quot;-&quot;_);_(@_)"/>
    <numFmt numFmtId="173" formatCode="#,##0.000_);\(#,##0.000\)"/>
    <numFmt numFmtId="174" formatCode="_(* #,##0.00_);_(* \(#,##0.00\);_(* &quot;-&quot;_);_(@_)"/>
    <numFmt numFmtId="175" formatCode="0.000"/>
    <numFmt numFmtId="176" formatCode="_(* #,##0.000_);_(* \(#,##0.000\);_(* &quot;-&quot;???_);_(@_)"/>
    <numFmt numFmtId="177" formatCode="_(* #,##0.0000_);_(* \(#,##0.0000\);_(* &quot;-&quot;??_);_(@_)"/>
  </numFmts>
  <fonts count="16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Rockwell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1"/>
      <color theme="3" tint="-0.249977111117893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indexed="1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.5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4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5" tint="-0.249977111117893"/>
      <name val="Arial"/>
      <family val="2"/>
    </font>
    <font>
      <b/>
      <sz val="18"/>
      <color theme="3"/>
      <name val="Arial"/>
      <family val="2"/>
    </font>
    <font>
      <b/>
      <sz val="12"/>
      <color theme="9" tint="-0.499984740745262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b/>
      <sz val="11"/>
      <color theme="9" tint="-0.499984740745262"/>
      <name val="Arial"/>
      <family val="2"/>
    </font>
    <font>
      <b/>
      <sz val="9"/>
      <color rgb="FFC00000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8"/>
      <color rgb="FF002060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1.5"/>
      <color rgb="FF000000"/>
      <name val="Garamond"/>
      <family val="1"/>
    </font>
    <font>
      <b/>
      <sz val="11.5"/>
      <color rgb="FF00000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9"/>
      <color theme="5" tint="-0.499984740745262"/>
      <name val="Arial"/>
      <family val="2"/>
    </font>
    <font>
      <sz val="8"/>
      <color rgb="FFC00000"/>
      <name val="Arial"/>
      <family val="2"/>
    </font>
    <font>
      <sz val="11"/>
      <color rgb="FF002060"/>
      <name val="Arial"/>
      <family val="2"/>
    </font>
    <font>
      <sz val="11"/>
      <color theme="9" tint="-0.249977111117893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name val="Tms Rmn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rgb="FF00206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4"/>
      <color theme="9" tint="-0.499984740745262"/>
      <name val="Garamond"/>
      <family val="1"/>
    </font>
    <font>
      <u/>
      <sz val="11"/>
      <color theme="1"/>
      <name val="Garamond"/>
      <family val="1"/>
    </font>
    <font>
      <b/>
      <sz val="11"/>
      <color rgb="FF002060"/>
      <name val="Garamond"/>
      <family val="1"/>
    </font>
    <font>
      <b/>
      <sz val="12"/>
      <color rgb="FF00B05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3"/>
      <color rgb="FF002060"/>
      <name val="Arial"/>
      <family val="2"/>
    </font>
    <font>
      <sz val="12"/>
      <color theme="5" tint="-0.249977111117893"/>
      <name val="Garamond"/>
      <family val="1"/>
    </font>
    <font>
      <sz val="12"/>
      <color rgb="FFC00000"/>
      <name val="Garamond"/>
      <family val="1"/>
    </font>
    <font>
      <b/>
      <sz val="11"/>
      <color theme="1" tint="4.9989318521683403E-2"/>
      <name val="Garamond"/>
      <family val="1"/>
    </font>
    <font>
      <b/>
      <sz val="14"/>
      <color rgb="FF002060"/>
      <name val="Garamond"/>
      <family val="1"/>
    </font>
    <font>
      <b/>
      <sz val="14"/>
      <color theme="1"/>
      <name val="Calibri"/>
      <family val="2"/>
      <scheme val="minor"/>
    </font>
    <font>
      <b/>
      <sz val="14"/>
      <color rgb="FFCC9900"/>
      <name val="Garamond"/>
      <family val="1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5"/>
      <color rgb="FF00206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34998626667073579"/>
      <name val="Arial"/>
      <family val="2"/>
    </font>
    <font>
      <b/>
      <sz val="10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i/>
      <sz val="10"/>
      <color rgb="FF000000"/>
      <name val="Arial"/>
      <family val="2"/>
    </font>
    <font>
      <b/>
      <sz val="11"/>
      <color theme="1" tint="0.34998626667073579"/>
      <name val="Arial"/>
      <family val="2"/>
    </font>
    <font>
      <b/>
      <sz val="11"/>
      <color rgb="FF0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EEFB9F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 style="thin">
        <color rgb="FFCC9900"/>
      </bottom>
      <diagonal/>
    </border>
    <border>
      <left/>
      <right style="thin">
        <color rgb="FFCC99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6">
    <xf numFmtId="0" fontId="0" fillId="0" borderId="0"/>
    <xf numFmtId="43" fontId="11" fillId="0" borderId="0" applyFont="0" applyFill="0" applyBorder="0" applyAlignment="0" applyProtection="0"/>
    <xf numFmtId="0" fontId="9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9" applyNumberFormat="0" applyAlignment="0" applyProtection="0"/>
    <xf numFmtId="0" fontId="21" fillId="26" borderId="10" applyNumberFormat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9" applyNumberFormat="0" applyAlignment="0" applyProtection="0"/>
    <xf numFmtId="0" fontId="29" fillId="0" borderId="14" applyNumberFormat="0" applyFill="0" applyAlignment="0" applyProtection="0"/>
    <xf numFmtId="0" fontId="30" fillId="27" borderId="0" applyNumberFormat="0" applyBorder="0" applyAlignment="0" applyProtection="0"/>
    <xf numFmtId="0" fontId="7" fillId="0" borderId="0"/>
    <xf numFmtId="0" fontId="22" fillId="0" borderId="0"/>
    <xf numFmtId="0" fontId="22" fillId="28" borderId="15" applyNumberFormat="0" applyFont="0" applyAlignment="0" applyProtection="0"/>
    <xf numFmtId="0" fontId="31" fillId="25" borderId="16" applyNumberFormat="0" applyAlignment="0" applyProtection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/>
    <xf numFmtId="9" fontId="11" fillId="0" borderId="0" applyFont="0" applyFill="0" applyBorder="0" applyAlignment="0" applyProtection="0"/>
    <xf numFmtId="0" fontId="45" fillId="0" borderId="0"/>
    <xf numFmtId="169" fontId="129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3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9" fillId="28" borderId="15" applyNumberFormat="0" applyFont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1606">
    <xf numFmtId="0" fontId="0" fillId="0" borderId="0" xfId="0"/>
    <xf numFmtId="0" fontId="9" fillId="0" borderId="0" xfId="2"/>
    <xf numFmtId="0" fontId="14" fillId="3" borderId="0" xfId="0" applyFont="1" applyFill="1" applyAlignment="1">
      <alignment vertical="center"/>
    </xf>
    <xf numFmtId="0" fontId="0" fillId="3" borderId="0" xfId="0" applyFill="1"/>
    <xf numFmtId="0" fontId="12" fillId="2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0" borderId="0" xfId="41" applyFont="1" applyAlignment="1">
      <alignment horizontal="center" vertical="center"/>
    </xf>
    <xf numFmtId="0" fontId="9" fillId="0" borderId="0" xfId="2" applyAlignment="1">
      <alignment vertical="center"/>
    </xf>
    <xf numFmtId="0" fontId="9" fillId="0" borderId="0" xfId="2" applyFill="1" applyBorder="1"/>
    <xf numFmtId="0" fontId="22" fillId="0" borderId="0" xfId="2" applyFont="1" applyAlignment="1">
      <alignment vertical="center"/>
    </xf>
    <xf numFmtId="0" fontId="9" fillId="0" borderId="0" xfId="2" applyBorder="1"/>
    <xf numFmtId="0" fontId="39" fillId="0" borderId="0" xfId="2" applyFont="1" applyBorder="1" applyAlignment="1">
      <alignment horizontal="right"/>
    </xf>
    <xf numFmtId="0" fontId="42" fillId="0" borderId="0" xfId="2" applyFont="1" applyAlignment="1">
      <alignment vertical="center"/>
    </xf>
    <xf numFmtId="0" fontId="42" fillId="32" borderId="0" xfId="2" applyFont="1" applyFill="1" applyAlignment="1">
      <alignment vertical="center"/>
    </xf>
    <xf numFmtId="0" fontId="38" fillId="2" borderId="47" xfId="2" applyFont="1" applyFill="1" applyBorder="1" applyAlignment="1">
      <alignment horizontal="center" vertical="center"/>
    </xf>
    <xf numFmtId="41" fontId="38" fillId="2" borderId="5" xfId="2" applyNumberFormat="1" applyFont="1" applyFill="1" applyBorder="1" applyAlignment="1">
      <alignment horizontal="center" vertical="center"/>
    </xf>
    <xf numFmtId="0" fontId="38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Border="1" applyAlignment="1">
      <alignment vertical="center"/>
    </xf>
    <xf numFmtId="0" fontId="13" fillId="0" borderId="0" xfId="2" applyFont="1" applyAlignment="1">
      <alignment vertical="center"/>
    </xf>
    <xf numFmtId="0" fontId="9" fillId="2" borderId="0" xfId="2" applyFill="1" applyBorder="1"/>
    <xf numFmtId="0" fontId="40" fillId="34" borderId="0" xfId="2" applyFont="1" applyFill="1" applyAlignment="1">
      <alignment vertical="center"/>
    </xf>
    <xf numFmtId="0" fontId="9" fillId="0" borderId="47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13" fillId="31" borderId="70" xfId="2" applyFont="1" applyFill="1" applyBorder="1" applyAlignment="1">
      <alignment horizontal="center" vertical="center" wrapText="1"/>
    </xf>
    <xf numFmtId="41" fontId="38" fillId="0" borderId="36" xfId="2" applyNumberFormat="1" applyFont="1" applyFill="1" applyBorder="1" applyAlignment="1">
      <alignment horizontal="center" vertical="center"/>
    </xf>
    <xf numFmtId="41" fontId="15" fillId="0" borderId="37" xfId="2" applyNumberFormat="1" applyFont="1" applyFill="1" applyBorder="1" applyAlignment="1">
      <alignment horizontal="center" vertical="center"/>
    </xf>
    <xf numFmtId="41" fontId="38" fillId="33" borderId="3" xfId="2" applyNumberFormat="1" applyFont="1" applyFill="1" applyBorder="1" applyAlignment="1">
      <alignment horizontal="center" vertical="center"/>
    </xf>
    <xf numFmtId="41" fontId="15" fillId="33" borderId="3" xfId="2" applyNumberFormat="1" applyFont="1" applyFill="1" applyBorder="1" applyAlignment="1">
      <alignment horizontal="center" vertical="center"/>
    </xf>
    <xf numFmtId="41" fontId="15" fillId="0" borderId="33" xfId="2" applyNumberFormat="1" applyFont="1" applyFill="1" applyBorder="1" applyAlignment="1">
      <alignment horizontal="center" vertical="center"/>
    </xf>
    <xf numFmtId="41" fontId="15" fillId="2" borderId="42" xfId="2" applyNumberFormat="1" applyFont="1" applyFill="1" applyBorder="1" applyAlignment="1">
      <alignment horizontal="center" vertical="center"/>
    </xf>
    <xf numFmtId="0" fontId="13" fillId="2" borderId="0" xfId="2" applyFont="1" applyFill="1"/>
    <xf numFmtId="0" fontId="13" fillId="0" borderId="0" xfId="2" applyFont="1"/>
    <xf numFmtId="0" fontId="9" fillId="2" borderId="0" xfId="2" applyFill="1" applyAlignment="1">
      <alignment wrapText="1"/>
    </xf>
    <xf numFmtId="0" fontId="9" fillId="2" borderId="0" xfId="2" applyFill="1"/>
    <xf numFmtId="0" fontId="14" fillId="2" borderId="0" xfId="2" applyFont="1" applyFill="1" applyAlignment="1">
      <alignment horizontal="centerContinuous" wrapText="1"/>
    </xf>
    <xf numFmtId="0" fontId="9" fillId="2" borderId="0" xfId="2" applyFill="1" applyAlignment="1">
      <alignment horizontal="centerContinuous" wrapText="1"/>
    </xf>
    <xf numFmtId="0" fontId="9" fillId="2" borderId="0" xfId="2" applyFill="1" applyAlignment="1">
      <alignment horizontal="centerContinuous"/>
    </xf>
    <xf numFmtId="0" fontId="14" fillId="2" borderId="0" xfId="2" applyFont="1" applyFill="1" applyBorder="1" applyAlignment="1">
      <alignment horizontal="left" wrapText="1"/>
    </xf>
    <xf numFmtId="0" fontId="42" fillId="31" borderId="1" xfId="2" applyFont="1" applyFill="1" applyBorder="1" applyAlignment="1">
      <alignment horizontal="center" wrapText="1"/>
    </xf>
    <xf numFmtId="0" fontId="42" fillId="31" borderId="2" xfId="2" applyFont="1" applyFill="1" applyBorder="1" applyAlignment="1">
      <alignment horizontal="center" wrapText="1"/>
    </xf>
    <xf numFmtId="0" fontId="42" fillId="31" borderId="2" xfId="2" applyFont="1" applyFill="1" applyBorder="1" applyAlignment="1">
      <alignment horizontal="center"/>
    </xf>
    <xf numFmtId="0" fontId="47" fillId="31" borderId="2" xfId="2" applyFont="1" applyFill="1" applyBorder="1" applyAlignment="1">
      <alignment horizontal="center"/>
    </xf>
    <xf numFmtId="0" fontId="47" fillId="31" borderId="2" xfId="2" applyFont="1" applyFill="1" applyBorder="1" applyAlignment="1">
      <alignment horizontal="center" wrapText="1"/>
    </xf>
    <xf numFmtId="0" fontId="13" fillId="31" borderId="74" xfId="2" applyFont="1" applyFill="1" applyBorder="1" applyAlignment="1">
      <alignment horizontal="center"/>
    </xf>
    <xf numFmtId="0" fontId="9" fillId="0" borderId="0" xfId="2" applyAlignment="1">
      <alignment horizontal="center"/>
    </xf>
    <xf numFmtId="0" fontId="42" fillId="31" borderId="75" xfId="2" applyFont="1" applyFill="1" applyBorder="1" applyAlignment="1">
      <alignment horizontal="center" wrapText="1"/>
    </xf>
    <xf numFmtId="0" fontId="42" fillId="31" borderId="76" xfId="2" applyFont="1" applyFill="1" applyBorder="1" applyAlignment="1">
      <alignment horizontal="center" wrapText="1"/>
    </xf>
    <xf numFmtId="0" fontId="42" fillId="31" borderId="76" xfId="2" applyFont="1" applyFill="1" applyBorder="1" applyAlignment="1">
      <alignment horizontal="center"/>
    </xf>
    <xf numFmtId="0" fontId="47" fillId="31" borderId="76" xfId="2" applyFont="1" applyFill="1" applyBorder="1" applyAlignment="1">
      <alignment horizontal="center"/>
    </xf>
    <xf numFmtId="0" fontId="13" fillId="31" borderId="71" xfId="2" applyFont="1" applyFill="1" applyBorder="1" applyAlignment="1">
      <alignment horizontal="center"/>
    </xf>
    <xf numFmtId="9" fontId="42" fillId="31" borderId="76" xfId="2" applyNumberFormat="1" applyFont="1" applyFill="1" applyBorder="1" applyAlignment="1">
      <alignment horizontal="center"/>
    </xf>
    <xf numFmtId="0" fontId="47" fillId="31" borderId="76" xfId="2" applyFont="1" applyFill="1" applyBorder="1" applyAlignment="1">
      <alignment horizontal="center" wrapText="1"/>
    </xf>
    <xf numFmtId="0" fontId="42" fillId="31" borderId="59" xfId="2" applyFont="1" applyFill="1" applyBorder="1" applyAlignment="1">
      <alignment horizontal="center" wrapText="1"/>
    </xf>
    <xf numFmtId="0" fontId="42" fillId="31" borderId="38" xfId="2" applyFont="1" applyFill="1" applyBorder="1" applyAlignment="1">
      <alignment horizontal="center" wrapText="1"/>
    </xf>
    <xf numFmtId="0" fontId="42" fillId="31" borderId="38" xfId="2" applyFont="1" applyFill="1" applyBorder="1" applyAlignment="1">
      <alignment horizontal="center"/>
    </xf>
    <xf numFmtId="0" fontId="9" fillId="31" borderId="38" xfId="2" applyFill="1" applyBorder="1" applyAlignment="1">
      <alignment horizontal="center"/>
    </xf>
    <xf numFmtId="0" fontId="13" fillId="31" borderId="39" xfId="2" applyFont="1" applyFill="1" applyBorder="1" applyAlignment="1">
      <alignment horizontal="center"/>
    </xf>
    <xf numFmtId="0" fontId="48" fillId="31" borderId="7" xfId="2" applyFont="1" applyFill="1" applyBorder="1" applyAlignment="1">
      <alignment horizontal="center" wrapText="1"/>
    </xf>
    <xf numFmtId="0" fontId="48" fillId="31" borderId="8" xfId="2" applyFont="1" applyFill="1" applyBorder="1" applyAlignment="1">
      <alignment horizontal="center" wrapText="1"/>
    </xf>
    <xf numFmtId="0" fontId="48" fillId="31" borderId="8" xfId="2" applyFont="1" applyFill="1" applyBorder="1" applyAlignment="1">
      <alignment horizontal="center"/>
    </xf>
    <xf numFmtId="0" fontId="48" fillId="31" borderId="33" xfId="2" applyFont="1" applyFill="1" applyBorder="1" applyAlignment="1">
      <alignment horizontal="center"/>
    </xf>
    <xf numFmtId="0" fontId="13" fillId="0" borderId="6" xfId="2" applyFont="1" applyBorder="1" applyAlignment="1">
      <alignment vertical="center"/>
    </xf>
    <xf numFmtId="0" fontId="13" fillId="0" borderId="41" xfId="2" applyFont="1" applyBorder="1" applyAlignment="1">
      <alignment vertical="center"/>
    </xf>
    <xf numFmtId="0" fontId="13" fillId="0" borderId="42" xfId="2" applyFont="1" applyBorder="1" applyAlignment="1">
      <alignment vertical="center"/>
    </xf>
    <xf numFmtId="0" fontId="13" fillId="0" borderId="39" xfId="2" applyFont="1" applyBorder="1" applyAlignment="1">
      <alignment vertical="center"/>
    </xf>
    <xf numFmtId="0" fontId="9" fillId="0" borderId="0" xfId="2" applyAlignment="1">
      <alignment wrapText="1"/>
    </xf>
    <xf numFmtId="0" fontId="52" fillId="3" borderId="0" xfId="2" applyFont="1" applyFill="1"/>
    <xf numFmtId="0" fontId="52" fillId="3" borderId="0" xfId="2" applyFont="1" applyFill="1" applyAlignment="1">
      <alignment wrapText="1"/>
    </xf>
    <xf numFmtId="0" fontId="52" fillId="3" borderId="0" xfId="2" applyFont="1" applyFill="1" applyBorder="1" applyAlignment="1">
      <alignment wrapText="1"/>
    </xf>
    <xf numFmtId="0" fontId="52" fillId="0" borderId="0" xfId="2" applyFont="1"/>
    <xf numFmtId="0" fontId="54" fillId="3" borderId="0" xfId="2" applyFont="1" applyFill="1" applyAlignment="1"/>
    <xf numFmtId="0" fontId="55" fillId="3" borderId="0" xfId="2" applyFont="1" applyFill="1" applyAlignment="1">
      <alignment wrapText="1"/>
    </xf>
    <xf numFmtId="0" fontId="56" fillId="3" borderId="0" xfId="2" applyFont="1" applyFill="1" applyBorder="1" applyAlignment="1"/>
    <xf numFmtId="0" fontId="55" fillId="3" borderId="0" xfId="2" applyFont="1" applyFill="1"/>
    <xf numFmtId="0" fontId="53" fillId="3" borderId="0" xfId="2" applyFont="1" applyFill="1" applyBorder="1" applyAlignment="1"/>
    <xf numFmtId="0" fontId="59" fillId="6" borderId="82" xfId="2" applyFont="1" applyFill="1" applyBorder="1" applyAlignment="1">
      <alignment wrapText="1"/>
    </xf>
    <xf numFmtId="0" fontId="59" fillId="6" borderId="83" xfId="2" applyFont="1" applyFill="1" applyBorder="1" applyAlignment="1">
      <alignment wrapText="1"/>
    </xf>
    <xf numFmtId="0" fontId="60" fillId="3" borderId="0" xfId="2" applyFont="1" applyFill="1" applyBorder="1" applyAlignment="1">
      <alignment wrapText="1"/>
    </xf>
    <xf numFmtId="0" fontId="59" fillId="6" borderId="82" xfId="2" applyFont="1" applyFill="1" applyBorder="1" applyAlignment="1">
      <alignment horizontal="center" wrapText="1"/>
    </xf>
    <xf numFmtId="0" fontId="59" fillId="6" borderId="83" xfId="2" applyFont="1" applyFill="1" applyBorder="1" applyAlignment="1">
      <alignment horizontal="left" wrapText="1"/>
    </xf>
    <xf numFmtId="0" fontId="53" fillId="0" borderId="0" xfId="2" applyFont="1"/>
    <xf numFmtId="0" fontId="52" fillId="37" borderId="84" xfId="2" applyFont="1" applyFill="1" applyBorder="1" applyAlignment="1">
      <alignment horizontal="center" wrapText="1"/>
    </xf>
    <xf numFmtId="0" fontId="52" fillId="37" borderId="78" xfId="2" applyFont="1" applyFill="1" applyBorder="1" applyAlignment="1">
      <alignment wrapText="1"/>
    </xf>
    <xf numFmtId="0" fontId="52" fillId="38" borderId="84" xfId="2" applyFont="1" applyFill="1" applyBorder="1" applyAlignment="1">
      <alignment horizontal="center" wrapText="1"/>
    </xf>
    <xf numFmtId="0" fontId="52" fillId="38" borderId="78" xfId="2" applyFont="1" applyFill="1" applyBorder="1" applyAlignment="1">
      <alignment wrapText="1"/>
    </xf>
    <xf numFmtId="0" fontId="52" fillId="37" borderId="85" xfId="2" applyFont="1" applyFill="1" applyBorder="1" applyAlignment="1">
      <alignment horizontal="center" wrapText="1"/>
    </xf>
    <xf numFmtId="0" fontId="52" fillId="37" borderId="79" xfId="2" applyFont="1" applyFill="1" applyBorder="1" applyAlignment="1">
      <alignment wrapText="1"/>
    </xf>
    <xf numFmtId="0" fontId="52" fillId="38" borderId="85" xfId="2" applyFont="1" applyFill="1" applyBorder="1" applyAlignment="1">
      <alignment horizontal="center" wrapText="1"/>
    </xf>
    <xf numFmtId="0" fontId="52" fillId="38" borderId="79" xfId="2" applyFont="1" applyFill="1" applyBorder="1" applyAlignment="1">
      <alignment wrapText="1"/>
    </xf>
    <xf numFmtId="0" fontId="52" fillId="37" borderId="86" xfId="2" applyFont="1" applyFill="1" applyBorder="1" applyAlignment="1">
      <alignment horizontal="center" wrapText="1"/>
    </xf>
    <xf numFmtId="0" fontId="52" fillId="37" borderId="81" xfId="2" applyFont="1" applyFill="1" applyBorder="1" applyAlignment="1">
      <alignment wrapText="1"/>
    </xf>
    <xf numFmtId="0" fontId="52" fillId="0" borderId="0" xfId="2" applyFont="1" applyFill="1" applyBorder="1" applyAlignment="1">
      <alignment horizontal="center" wrapText="1"/>
    </xf>
    <xf numFmtId="0" fontId="52" fillId="0" borderId="0" xfId="2" applyFont="1" applyFill="1" applyBorder="1" applyAlignment="1">
      <alignment wrapText="1"/>
    </xf>
    <xf numFmtId="0" fontId="61" fillId="3" borderId="0" xfId="2" applyFont="1" applyFill="1" applyAlignment="1"/>
    <xf numFmtId="0" fontId="62" fillId="3" borderId="0" xfId="2" applyFont="1" applyFill="1" applyAlignment="1"/>
    <xf numFmtId="0" fontId="59" fillId="4" borderId="82" xfId="2" applyFont="1" applyFill="1" applyBorder="1" applyAlignment="1">
      <alignment wrapText="1"/>
    </xf>
    <xf numFmtId="0" fontId="59" fillId="4" borderId="83" xfId="2" applyFont="1" applyFill="1" applyBorder="1" applyAlignment="1">
      <alignment wrapText="1"/>
    </xf>
    <xf numFmtId="0" fontId="52" fillId="39" borderId="84" xfId="2" applyFont="1" applyFill="1" applyBorder="1" applyAlignment="1">
      <alignment horizontal="center" wrapText="1"/>
    </xf>
    <xf numFmtId="0" fontId="52" fillId="39" borderId="78" xfId="2" applyFont="1" applyFill="1" applyBorder="1" applyAlignment="1">
      <alignment wrapText="1"/>
    </xf>
    <xf numFmtId="0" fontId="52" fillId="39" borderId="85" xfId="2" applyFont="1" applyFill="1" applyBorder="1" applyAlignment="1">
      <alignment horizontal="center" wrapText="1"/>
    </xf>
    <xf numFmtId="0" fontId="52" fillId="39" borderId="79" xfId="2" applyFont="1" applyFill="1" applyBorder="1" applyAlignment="1">
      <alignment wrapText="1"/>
    </xf>
    <xf numFmtId="0" fontId="52" fillId="38" borderId="81" xfId="2" applyFont="1" applyFill="1" applyBorder="1" applyAlignment="1">
      <alignment wrapText="1"/>
    </xf>
    <xf numFmtId="0" fontId="53" fillId="3" borderId="0" xfId="2" applyFont="1" applyFill="1"/>
    <xf numFmtId="0" fontId="52" fillId="39" borderId="86" xfId="2" applyFont="1" applyFill="1" applyBorder="1" applyAlignment="1">
      <alignment horizontal="center" wrapText="1"/>
    </xf>
    <xf numFmtId="0" fontId="52" fillId="39" borderId="81" xfId="2" applyFont="1" applyFill="1" applyBorder="1" applyAlignment="1">
      <alignment wrapText="1"/>
    </xf>
    <xf numFmtId="0" fontId="63" fillId="3" borderId="0" xfId="2" applyFont="1" applyFill="1" applyAlignment="1"/>
    <xf numFmtId="0" fontId="64" fillId="3" borderId="0" xfId="2" applyFont="1" applyFill="1" applyAlignment="1"/>
    <xf numFmtId="0" fontId="59" fillId="6" borderId="87" xfId="2" applyFont="1" applyFill="1" applyBorder="1" applyAlignment="1">
      <alignment horizontal="center" wrapText="1"/>
    </xf>
    <xf numFmtId="0" fontId="59" fillId="6" borderId="80" xfId="2" applyFont="1" applyFill="1" applyBorder="1" applyAlignment="1">
      <alignment horizontal="left" wrapText="1"/>
    </xf>
    <xf numFmtId="0" fontId="52" fillId="40" borderId="84" xfId="2" applyFont="1" applyFill="1" applyBorder="1" applyAlignment="1">
      <alignment horizontal="center" wrapText="1"/>
    </xf>
    <xf numFmtId="0" fontId="52" fillId="40" borderId="78" xfId="2" applyFont="1" applyFill="1" applyBorder="1" applyAlignment="1">
      <alignment wrapText="1"/>
    </xf>
    <xf numFmtId="0" fontId="52" fillId="35" borderId="87" xfId="2" applyFont="1" applyFill="1" applyBorder="1" applyAlignment="1">
      <alignment horizontal="center" wrapText="1"/>
    </xf>
    <xf numFmtId="0" fontId="52" fillId="35" borderId="80" xfId="2" applyFont="1" applyFill="1" applyBorder="1" applyAlignment="1">
      <alignment wrapText="1"/>
    </xf>
    <xf numFmtId="0" fontId="52" fillId="40" borderId="85" xfId="2" applyFont="1" applyFill="1" applyBorder="1" applyAlignment="1">
      <alignment horizontal="center" wrapText="1"/>
    </xf>
    <xf numFmtId="0" fontId="52" fillId="40" borderId="79" xfId="2" applyFont="1" applyFill="1" applyBorder="1" applyAlignment="1">
      <alignment wrapText="1"/>
    </xf>
    <xf numFmtId="0" fontId="52" fillId="35" borderId="85" xfId="2" applyFont="1" applyFill="1" applyBorder="1" applyAlignment="1">
      <alignment horizontal="center" wrapText="1"/>
    </xf>
    <xf numFmtId="0" fontId="52" fillId="35" borderId="79" xfId="2" applyFont="1" applyFill="1" applyBorder="1" applyAlignment="1">
      <alignment wrapText="1"/>
    </xf>
    <xf numFmtId="0" fontId="52" fillId="40" borderId="86" xfId="2" applyFont="1" applyFill="1" applyBorder="1" applyAlignment="1">
      <alignment horizontal="center" wrapText="1"/>
    </xf>
    <xf numFmtId="0" fontId="52" fillId="40" borderId="81" xfId="2" applyFont="1" applyFill="1" applyBorder="1" applyAlignment="1">
      <alignment wrapText="1"/>
    </xf>
    <xf numFmtId="0" fontId="52" fillId="3" borderId="0" xfId="2" applyFont="1" applyFill="1" applyBorder="1" applyAlignment="1">
      <alignment horizontal="center" wrapText="1"/>
    </xf>
    <xf numFmtId="0" fontId="65" fillId="3" borderId="0" xfId="2" applyFont="1" applyFill="1" applyAlignment="1"/>
    <xf numFmtId="0" fontId="66" fillId="35" borderId="79" xfId="2" applyFont="1" applyFill="1" applyBorder="1" applyAlignment="1">
      <alignment wrapText="1"/>
    </xf>
    <xf numFmtId="0" fontId="52" fillId="35" borderId="81" xfId="2" applyFont="1" applyFill="1" applyBorder="1" applyAlignment="1">
      <alignment wrapText="1"/>
    </xf>
    <xf numFmtId="0" fontId="52" fillId="3" borderId="0" xfId="2" applyFont="1" applyFill="1" applyBorder="1"/>
    <xf numFmtId="0" fontId="67" fillId="3" borderId="0" xfId="2" applyFont="1" applyFill="1" applyAlignment="1"/>
    <xf numFmtId="0" fontId="59" fillId="4" borderId="82" xfId="2" applyFont="1" applyFill="1" applyBorder="1" applyAlignment="1">
      <alignment horizontal="center" wrapText="1"/>
    </xf>
    <xf numFmtId="0" fontId="59" fillId="4" borderId="83" xfId="2" applyFont="1" applyFill="1" applyBorder="1" applyAlignment="1">
      <alignment horizontal="left" wrapText="1"/>
    </xf>
    <xf numFmtId="0" fontId="52" fillId="36" borderId="84" xfId="2" applyFont="1" applyFill="1" applyBorder="1" applyAlignment="1">
      <alignment horizontal="center" wrapText="1"/>
    </xf>
    <xf numFmtId="0" fontId="52" fillId="36" borderId="78" xfId="2" applyFont="1" applyFill="1" applyBorder="1" applyAlignment="1">
      <alignment wrapText="1"/>
    </xf>
    <xf numFmtId="0" fontId="52" fillId="36" borderId="85" xfId="2" applyFont="1" applyFill="1" applyBorder="1" applyAlignment="1">
      <alignment horizontal="center" wrapText="1"/>
    </xf>
    <xf numFmtId="0" fontId="52" fillId="36" borderId="79" xfId="2" applyFont="1" applyFill="1" applyBorder="1" applyAlignment="1">
      <alignment wrapText="1"/>
    </xf>
    <xf numFmtId="0" fontId="52" fillId="36" borderId="86" xfId="2" applyFont="1" applyFill="1" applyBorder="1" applyAlignment="1">
      <alignment horizontal="center" wrapText="1"/>
    </xf>
    <xf numFmtId="0" fontId="52" fillId="36" borderId="81" xfId="2" applyFont="1" applyFill="1" applyBorder="1" applyAlignment="1">
      <alignment wrapText="1"/>
    </xf>
    <xf numFmtId="0" fontId="52" fillId="35" borderId="84" xfId="2" applyFont="1" applyFill="1" applyBorder="1" applyAlignment="1">
      <alignment horizontal="center" wrapText="1"/>
    </xf>
    <xf numFmtId="0" fontId="52" fillId="35" borderId="78" xfId="2" applyFont="1" applyFill="1" applyBorder="1" applyAlignment="1">
      <alignment wrapText="1"/>
    </xf>
    <xf numFmtId="0" fontId="52" fillId="35" borderId="86" xfId="2" applyFont="1" applyFill="1" applyBorder="1" applyAlignment="1">
      <alignment horizontal="center" wrapText="1"/>
    </xf>
    <xf numFmtId="0" fontId="53" fillId="3" borderId="0" xfId="2" applyFont="1" applyFill="1" applyBorder="1"/>
    <xf numFmtId="0" fontId="22" fillId="3" borderId="0" xfId="41" applyFill="1" applyAlignment="1">
      <alignment vertical="center"/>
    </xf>
    <xf numFmtId="0" fontId="22" fillId="3" borderId="0" xfId="41" applyFill="1" applyAlignment="1">
      <alignment horizontal="left" vertical="center" wrapText="1"/>
    </xf>
    <xf numFmtId="0" fontId="12" fillId="3" borderId="0" xfId="41" applyFont="1" applyFill="1" applyAlignment="1">
      <alignment horizontal="center" vertical="center"/>
    </xf>
    <xf numFmtId="0" fontId="0" fillId="3" borderId="0" xfId="0" applyFont="1" applyFill="1"/>
    <xf numFmtId="49" fontId="35" fillId="0" borderId="0" xfId="0" applyNumberFormat="1" applyFont="1" applyFill="1" applyBorder="1" applyAlignment="1">
      <alignment horizontal="right" wrapText="1"/>
    </xf>
    <xf numFmtId="0" fontId="16" fillId="3" borderId="0" xfId="41" applyFont="1" applyFill="1" applyAlignment="1">
      <alignment vertical="top"/>
    </xf>
    <xf numFmtId="0" fontId="8" fillId="3" borderId="0" xfId="0" applyFont="1" applyFill="1"/>
    <xf numFmtId="0" fontId="68" fillId="3" borderId="0" xfId="0" applyFont="1" applyFill="1"/>
    <xf numFmtId="0" fontId="7" fillId="3" borderId="0" xfId="40" applyFill="1"/>
    <xf numFmtId="0" fontId="70" fillId="3" borderId="0" xfId="0" applyFont="1" applyFill="1" applyAlignment="1">
      <alignment vertical="center" wrapText="1"/>
    </xf>
    <xf numFmtId="0" fontId="69" fillId="3" borderId="0" xfId="41" applyFont="1" applyFill="1" applyAlignment="1">
      <alignment vertical="center"/>
    </xf>
    <xf numFmtId="0" fontId="70" fillId="3" borderId="0" xfId="41" applyFont="1" applyFill="1" applyAlignment="1">
      <alignment horizontal="center" vertical="center"/>
    </xf>
    <xf numFmtId="0" fontId="22" fillId="0" borderId="0" xfId="2" applyFont="1"/>
    <xf numFmtId="0" fontId="22" fillId="0" borderId="0" xfId="41" applyFont="1" applyAlignment="1">
      <alignment vertical="center"/>
    </xf>
    <xf numFmtId="0" fontId="22" fillId="0" borderId="0" xfId="2" applyFont="1" applyFill="1"/>
    <xf numFmtId="0" fontId="22" fillId="0" borderId="0" xfId="2" applyFont="1" applyFill="1" applyAlignment="1">
      <alignment vertical="center"/>
    </xf>
    <xf numFmtId="49" fontId="22" fillId="5" borderId="26" xfId="2" applyNumberFormat="1" applyFont="1" applyFill="1" applyBorder="1" applyAlignment="1">
      <alignment horizontal="left" vertical="center" wrapText="1"/>
    </xf>
    <xf numFmtId="0" fontId="78" fillId="0" borderId="0" xfId="2" applyFont="1" applyAlignment="1">
      <alignment vertical="center"/>
    </xf>
    <xf numFmtId="0" fontId="22" fillId="0" borderId="0" xfId="2" applyFont="1" applyFill="1" applyBorder="1"/>
    <xf numFmtId="0" fontId="22" fillId="39" borderId="79" xfId="2" applyFont="1" applyFill="1" applyBorder="1" applyAlignment="1">
      <alignment wrapText="1"/>
    </xf>
    <xf numFmtId="0" fontId="80" fillId="0" borderId="0" xfId="0" applyFont="1"/>
    <xf numFmtId="0" fontId="80" fillId="3" borderId="0" xfId="0" applyFont="1" applyFill="1"/>
    <xf numFmtId="0" fontId="81" fillId="0" borderId="0" xfId="0" applyFont="1" applyFill="1"/>
    <xf numFmtId="0" fontId="80" fillId="3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/>
    <xf numFmtId="0" fontId="72" fillId="0" borderId="0" xfId="0" applyFont="1" applyFill="1"/>
    <xf numFmtId="0" fontId="72" fillId="0" borderId="0" xfId="0" applyFont="1"/>
    <xf numFmtId="49" fontId="37" fillId="5" borderId="4" xfId="0" applyNumberFormat="1" applyFont="1" applyFill="1" applyBorder="1" applyAlignment="1">
      <alignment horizontal="left" vertical="center" wrapText="1"/>
    </xf>
    <xf numFmtId="49" fontId="37" fillId="5" borderId="5" xfId="0" applyNumberFormat="1" applyFont="1" applyFill="1" applyBorder="1" applyAlignment="1">
      <alignment horizontal="left" vertical="center" wrapText="1"/>
    </xf>
    <xf numFmtId="0" fontId="22" fillId="3" borderId="0" xfId="41" applyFont="1" applyFill="1" applyAlignment="1">
      <alignment vertical="center"/>
    </xf>
    <xf numFmtId="0" fontId="22" fillId="3" borderId="0" xfId="41" applyFont="1" applyFill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right" wrapText="1"/>
    </xf>
    <xf numFmtId="0" fontId="69" fillId="3" borderId="0" xfId="41" applyFont="1" applyFill="1" applyAlignment="1">
      <alignment vertical="top"/>
    </xf>
    <xf numFmtId="0" fontId="80" fillId="3" borderId="0" xfId="40" applyFont="1" applyFill="1"/>
    <xf numFmtId="0" fontId="49" fillId="31" borderId="38" xfId="2" applyNumberFormat="1" applyFont="1" applyFill="1" applyBorder="1" applyAlignment="1">
      <alignment horizontal="center"/>
    </xf>
    <xf numFmtId="0" fontId="15" fillId="29" borderId="43" xfId="2" applyFont="1" applyFill="1" applyBorder="1" applyAlignment="1">
      <alignment vertical="center"/>
    </xf>
    <xf numFmtId="49" fontId="70" fillId="0" borderId="18" xfId="0" applyNumberFormat="1" applyFont="1" applyFill="1" applyBorder="1" applyAlignment="1">
      <alignment vertical="center" wrapText="1"/>
    </xf>
    <xf numFmtId="0" fontId="15" fillId="29" borderId="3" xfId="2" applyFont="1" applyFill="1" applyBorder="1" applyAlignment="1">
      <alignment horizontal="left" vertical="center"/>
    </xf>
    <xf numFmtId="0" fontId="9" fillId="0" borderId="0" xfId="2" applyFont="1" applyFill="1"/>
    <xf numFmtId="0" fontId="9" fillId="0" borderId="0" xfId="2" applyFont="1"/>
    <xf numFmtId="0" fontId="87" fillId="0" borderId="0" xfId="2" applyFont="1"/>
    <xf numFmtId="0" fontId="88" fillId="3" borderId="0" xfId="0" applyFont="1" applyFill="1" applyBorder="1" applyAlignment="1">
      <alignment horizontal="right" vertical="center"/>
    </xf>
    <xf numFmtId="0" fontId="41" fillId="2" borderId="0" xfId="2" applyFont="1" applyFill="1" applyBorder="1" applyAlignment="1">
      <alignment horizontal="right"/>
    </xf>
    <xf numFmtId="0" fontId="96" fillId="2" borderId="0" xfId="2" applyFont="1" applyFill="1" applyBorder="1" applyAlignment="1"/>
    <xf numFmtId="0" fontId="43" fillId="2" borderId="0" xfId="2" applyFont="1" applyFill="1" applyBorder="1" applyAlignment="1"/>
    <xf numFmtId="0" fontId="42" fillId="0" borderId="0" xfId="2" applyFont="1"/>
    <xf numFmtId="0" fontId="38" fillId="0" borderId="0" xfId="2" applyFont="1"/>
    <xf numFmtId="0" fontId="45" fillId="2" borderId="18" xfId="2" applyFont="1" applyFill="1" applyBorder="1" applyAlignment="1"/>
    <xf numFmtId="0" fontId="45" fillId="0" borderId="0" xfId="2" applyFont="1"/>
    <xf numFmtId="0" fontId="97" fillId="2" borderId="0" xfId="2" applyFont="1" applyFill="1" applyBorder="1" applyAlignment="1">
      <alignment horizontal="right"/>
    </xf>
    <xf numFmtId="0" fontId="38" fillId="0" borderId="0" xfId="2" applyFont="1" applyBorder="1"/>
    <xf numFmtId="0" fontId="91" fillId="2" borderId="0" xfId="2" applyFont="1" applyFill="1" applyBorder="1" applyAlignment="1">
      <alignment horizontal="right"/>
    </xf>
    <xf numFmtId="0" fontId="40" fillId="43" borderId="0" xfId="2" applyFont="1" applyFill="1"/>
    <xf numFmtId="0" fontId="98" fillId="0" borderId="0" xfId="2" applyFont="1" applyBorder="1" applyAlignment="1">
      <alignment horizontal="right"/>
    </xf>
    <xf numFmtId="0" fontId="42" fillId="2" borderId="47" xfId="2" applyFont="1" applyFill="1" applyBorder="1" applyAlignment="1">
      <alignment horizontal="center" vertical="center"/>
    </xf>
    <xf numFmtId="0" fontId="9" fillId="0" borderId="0" xfId="2" applyFill="1"/>
    <xf numFmtId="41" fontId="15" fillId="0" borderId="8" xfId="2" applyNumberFormat="1" applyFont="1" applyFill="1" applyBorder="1" applyAlignment="1">
      <alignment horizontal="center" vertical="center"/>
    </xf>
    <xf numFmtId="0" fontId="9" fillId="36" borderId="0" xfId="2" applyFill="1"/>
    <xf numFmtId="0" fontId="12" fillId="34" borderId="0" xfId="2" applyFont="1" applyFill="1" applyAlignment="1">
      <alignment vertical="center"/>
    </xf>
    <xf numFmtId="0" fontId="38" fillId="34" borderId="8" xfId="2" applyFont="1" applyFill="1" applyBorder="1" applyAlignment="1">
      <alignment horizontal="center" vertical="center" textRotation="90" wrapText="1"/>
    </xf>
    <xf numFmtId="0" fontId="38" fillId="2" borderId="4" xfId="2" applyFont="1" applyFill="1" applyBorder="1" applyAlignment="1">
      <alignment horizontal="center" vertical="center"/>
    </xf>
    <xf numFmtId="0" fontId="38" fillId="0" borderId="4" xfId="2" applyFont="1" applyBorder="1" applyAlignment="1">
      <alignment horizontal="center" vertical="center"/>
    </xf>
    <xf numFmtId="0" fontId="38" fillId="2" borderId="18" xfId="2" applyFont="1" applyFill="1" applyBorder="1" applyAlignment="1"/>
    <xf numFmtId="0" fontId="99" fillId="2" borderId="0" xfId="2" applyFont="1" applyFill="1" applyBorder="1" applyAlignment="1"/>
    <xf numFmtId="0" fontId="38" fillId="2" borderId="5" xfId="2" applyFont="1" applyFill="1" applyBorder="1" applyAlignment="1">
      <alignment horizontal="center" vertical="center"/>
    </xf>
    <xf numFmtId="0" fontId="38" fillId="2" borderId="0" xfId="2" applyFont="1" applyFill="1" applyBorder="1" applyAlignment="1"/>
    <xf numFmtId="49" fontId="74" fillId="4" borderId="4" xfId="40" applyNumberFormat="1" applyFont="1" applyFill="1" applyBorder="1" applyAlignment="1">
      <alignment horizontal="left" vertical="center" wrapText="1"/>
    </xf>
    <xf numFmtId="49" fontId="73" fillId="30" borderId="5" xfId="0" applyNumberFormat="1" applyFont="1" applyFill="1" applyBorder="1" applyAlignment="1">
      <alignment horizontal="left" vertical="center" wrapText="1"/>
    </xf>
    <xf numFmtId="49" fontId="37" fillId="3" borderId="4" xfId="40" applyNumberFormat="1" applyFont="1" applyFill="1" applyBorder="1" applyAlignment="1">
      <alignment horizontal="left" vertical="center" wrapText="1"/>
    </xf>
    <xf numFmtId="49" fontId="37" fillId="3" borderId="5" xfId="40" applyNumberFormat="1" applyFont="1" applyFill="1" applyBorder="1" applyAlignment="1">
      <alignment horizontal="left" vertical="center" wrapText="1"/>
    </xf>
    <xf numFmtId="49" fontId="37" fillId="3" borderId="5" xfId="40" applyNumberFormat="1" applyFont="1" applyFill="1" applyBorder="1" applyAlignment="1">
      <alignment vertical="center" wrapText="1"/>
    </xf>
    <xf numFmtId="49" fontId="73" fillId="30" borderId="5" xfId="0" applyNumberFormat="1" applyFont="1" applyFill="1" applyBorder="1" applyAlignment="1">
      <alignment vertical="center" wrapText="1"/>
    </xf>
    <xf numFmtId="49" fontId="100" fillId="4" borderId="4" xfId="40" applyNumberFormat="1" applyFont="1" applyFill="1" applyBorder="1" applyAlignment="1">
      <alignment horizontal="left" vertical="center" wrapText="1"/>
    </xf>
    <xf numFmtId="166" fontId="38" fillId="2" borderId="36" xfId="2" applyNumberFormat="1" applyFont="1" applyFill="1" applyBorder="1" applyAlignment="1">
      <alignment horizontal="right" vertical="center" wrapText="1"/>
    </xf>
    <xf numFmtId="166" fontId="38" fillId="2" borderId="37" xfId="2" applyNumberFormat="1" applyFont="1" applyFill="1" applyBorder="1" applyAlignment="1">
      <alignment horizontal="right" vertical="center" wrapText="1"/>
    </xf>
    <xf numFmtId="3" fontId="38" fillId="2" borderId="4" xfId="2" applyNumberFormat="1" applyFont="1" applyFill="1" applyBorder="1" applyAlignment="1">
      <alignment horizontal="center" vertical="center"/>
    </xf>
    <xf numFmtId="3" fontId="38" fillId="2" borderId="5" xfId="2" applyNumberFormat="1" applyFont="1" applyFill="1" applyBorder="1" applyAlignment="1">
      <alignment horizontal="center" vertical="center"/>
    </xf>
    <xf numFmtId="166" fontId="38" fillId="2" borderId="5" xfId="2" applyNumberFormat="1" applyFont="1" applyFill="1" applyBorder="1" applyAlignment="1">
      <alignment horizontal="right" vertical="center"/>
    </xf>
    <xf numFmtId="166" fontId="38" fillId="2" borderId="6" xfId="2" applyNumberFormat="1" applyFont="1" applyFill="1" applyBorder="1" applyAlignment="1">
      <alignment horizontal="right" vertical="center"/>
    </xf>
    <xf numFmtId="41" fontId="15" fillId="0" borderId="32" xfId="2" applyNumberFormat="1" applyFont="1" applyFill="1" applyBorder="1" applyAlignment="1">
      <alignment horizontal="center" vertical="center"/>
    </xf>
    <xf numFmtId="0" fontId="45" fillId="0" borderId="0" xfId="2" applyFont="1" applyBorder="1"/>
    <xf numFmtId="0" fontId="40" fillId="43" borderId="0" xfId="2" applyFont="1" applyFill="1" applyBorder="1"/>
    <xf numFmtId="41" fontId="15" fillId="0" borderId="0" xfId="2" applyNumberFormat="1" applyFont="1" applyFill="1" applyBorder="1" applyAlignment="1">
      <alignment horizontal="center" vertical="center"/>
    </xf>
    <xf numFmtId="0" fontId="42" fillId="0" borderId="0" xfId="2" applyFont="1" applyBorder="1" applyAlignment="1">
      <alignment vertical="center"/>
    </xf>
    <xf numFmtId="0" fontId="42" fillId="32" borderId="0" xfId="2" applyFont="1" applyFill="1" applyBorder="1" applyAlignment="1">
      <alignment vertical="center"/>
    </xf>
    <xf numFmtId="0" fontId="38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9" fillId="0" borderId="0" xfId="2" applyBorder="1" applyAlignment="1">
      <alignment horizontal="center"/>
    </xf>
    <xf numFmtId="0" fontId="38" fillId="2" borderId="0" xfId="2" applyFont="1" applyFill="1" applyBorder="1"/>
    <xf numFmtId="0" fontId="13" fillId="31" borderId="68" xfId="2" applyFont="1" applyFill="1" applyBorder="1" applyAlignment="1">
      <alignment horizontal="center" vertical="center" textRotation="90" wrapText="1"/>
    </xf>
    <xf numFmtId="0" fontId="13" fillId="31" borderId="69" xfId="2" applyFont="1" applyFill="1" applyBorder="1" applyAlignment="1">
      <alignment horizontal="center" vertical="center" textRotation="90" wrapText="1"/>
    </xf>
    <xf numFmtId="41" fontId="38" fillId="2" borderId="75" xfId="2" applyNumberFormat="1" applyFont="1" applyFill="1" applyBorder="1" applyAlignment="1">
      <alignment horizontal="center" vertical="center"/>
    </xf>
    <xf numFmtId="41" fontId="38" fillId="2" borderId="76" xfId="2" applyNumberFormat="1" applyFont="1" applyFill="1" applyBorder="1" applyAlignment="1">
      <alignment horizontal="center" vertical="center"/>
    </xf>
    <xf numFmtId="41" fontId="15" fillId="2" borderId="71" xfId="2" applyNumberFormat="1" applyFont="1" applyFill="1" applyBorder="1" applyAlignment="1">
      <alignment horizontal="center" vertical="center"/>
    </xf>
    <xf numFmtId="41" fontId="15" fillId="0" borderId="36" xfId="2" applyNumberFormat="1" applyFont="1" applyFill="1" applyBorder="1" applyAlignment="1">
      <alignment horizontal="center" vertical="center"/>
    </xf>
    <xf numFmtId="41" fontId="38" fillId="0" borderId="8" xfId="2" applyNumberFormat="1" applyFont="1" applyFill="1" applyBorder="1" applyAlignment="1">
      <alignment horizontal="center" vertical="center"/>
    </xf>
    <xf numFmtId="41" fontId="38" fillId="0" borderId="5" xfId="2" applyNumberFormat="1" applyFont="1" applyFill="1" applyBorder="1" applyAlignment="1">
      <alignment horizontal="center" vertical="center"/>
    </xf>
    <xf numFmtId="41" fontId="15" fillId="0" borderId="5" xfId="2" applyNumberFormat="1" applyFont="1" applyFill="1" applyBorder="1" applyAlignment="1">
      <alignment horizontal="center" vertical="center"/>
    </xf>
    <xf numFmtId="41" fontId="15" fillId="0" borderId="6" xfId="2" applyNumberFormat="1" applyFont="1" applyFill="1" applyBorder="1" applyAlignment="1">
      <alignment horizontal="center" vertical="center"/>
    </xf>
    <xf numFmtId="0" fontId="9" fillId="0" borderId="46" xfId="2" applyFill="1" applyBorder="1" applyAlignment="1">
      <alignment horizontal="center"/>
    </xf>
    <xf numFmtId="0" fontId="9" fillId="0" borderId="4" xfId="2" applyFill="1" applyBorder="1" applyAlignment="1">
      <alignment horizontal="center"/>
    </xf>
    <xf numFmtId="41" fontId="38" fillId="0" borderId="36" xfId="2" applyNumberFormat="1" applyFont="1" applyFill="1" applyBorder="1" applyAlignment="1">
      <alignment vertical="center" wrapText="1"/>
    </xf>
    <xf numFmtId="41" fontId="38" fillId="0" borderId="5" xfId="2" applyNumberFormat="1" applyFont="1" applyFill="1" applyBorder="1" applyAlignment="1">
      <alignment vertical="center" wrapText="1"/>
    </xf>
    <xf numFmtId="41" fontId="38" fillId="0" borderId="8" xfId="2" applyNumberFormat="1" applyFont="1" applyFill="1" applyBorder="1" applyAlignment="1">
      <alignment vertical="center" wrapText="1"/>
    </xf>
    <xf numFmtId="41" fontId="38" fillId="2" borderId="40" xfId="2" applyNumberFormat="1" applyFont="1" applyFill="1" applyBorder="1" applyAlignment="1">
      <alignment horizontal="center" vertical="center"/>
    </xf>
    <xf numFmtId="41" fontId="38" fillId="2" borderId="41" xfId="2" applyNumberFormat="1" applyFont="1" applyFill="1" applyBorder="1" applyAlignment="1">
      <alignment horizontal="center" vertical="center"/>
    </xf>
    <xf numFmtId="0" fontId="101" fillId="0" borderId="0" xfId="0" applyFont="1"/>
    <xf numFmtId="0" fontId="101" fillId="0" borderId="0" xfId="0" applyFont="1" applyProtection="1"/>
    <xf numFmtId="41" fontId="9" fillId="33" borderId="61" xfId="2" applyNumberFormat="1" applyFill="1" applyBorder="1"/>
    <xf numFmtId="41" fontId="15" fillId="2" borderId="56" xfId="2" applyNumberFormat="1" applyFont="1" applyFill="1" applyBorder="1" applyAlignment="1">
      <alignment horizontal="center" vertical="center"/>
    </xf>
    <xf numFmtId="41" fontId="15" fillId="2" borderId="3" xfId="2" applyNumberFormat="1" applyFont="1" applyFill="1" applyBorder="1" applyAlignment="1">
      <alignment horizontal="center" vertical="center"/>
    </xf>
    <xf numFmtId="41" fontId="15" fillId="2" borderId="62" xfId="2" applyNumberFormat="1" applyFont="1" applyFill="1" applyBorder="1" applyAlignment="1">
      <alignment horizontal="center" vertical="center"/>
    </xf>
    <xf numFmtId="41" fontId="38" fillId="2" borderId="72" xfId="2" applyNumberFormat="1" applyFont="1" applyFill="1" applyBorder="1" applyAlignment="1">
      <alignment horizontal="center" vertical="center"/>
    </xf>
    <xf numFmtId="41" fontId="38" fillId="2" borderId="54" xfId="2" applyNumberFormat="1" applyFont="1" applyFill="1" applyBorder="1" applyAlignment="1">
      <alignment horizontal="center" vertical="center"/>
    </xf>
    <xf numFmtId="41" fontId="15" fillId="2" borderId="55" xfId="2" applyNumberFormat="1" applyFont="1" applyFill="1" applyBorder="1" applyAlignment="1">
      <alignment horizontal="center" vertical="center"/>
    </xf>
    <xf numFmtId="41" fontId="15" fillId="2" borderId="58" xfId="2" applyNumberFormat="1" applyFont="1" applyFill="1" applyBorder="1" applyAlignment="1">
      <alignment horizontal="center" vertical="center"/>
    </xf>
    <xf numFmtId="0" fontId="43" fillId="2" borderId="18" xfId="2" applyFont="1" applyFill="1" applyBorder="1" applyAlignment="1"/>
    <xf numFmtId="0" fontId="96" fillId="2" borderId="18" xfId="2" applyFont="1" applyFill="1" applyBorder="1" applyAlignment="1"/>
    <xf numFmtId="0" fontId="13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8" fillId="31" borderId="68" xfId="2" applyFont="1" applyFill="1" applyBorder="1" applyAlignment="1">
      <alignment horizontal="center" vertical="center" wrapText="1"/>
    </xf>
    <xf numFmtId="0" fontId="38" fillId="31" borderId="69" xfId="2" applyFont="1" applyFill="1" applyBorder="1" applyAlignment="1">
      <alignment horizontal="center" vertical="center" wrapText="1"/>
    </xf>
    <xf numFmtId="0" fontId="9" fillId="0" borderId="47" xfId="2" applyFill="1" applyBorder="1" applyAlignment="1">
      <alignment horizontal="center"/>
    </xf>
    <xf numFmtId="41" fontId="38" fillId="0" borderId="4" xfId="2" applyNumberFormat="1" applyFont="1" applyFill="1" applyBorder="1" applyAlignment="1">
      <alignment horizontal="center" vertical="center"/>
    </xf>
    <xf numFmtId="0" fontId="9" fillId="0" borderId="53" xfId="2" applyFill="1" applyBorder="1" applyAlignment="1">
      <alignment horizontal="center"/>
    </xf>
    <xf numFmtId="41" fontId="15" fillId="0" borderId="53" xfId="2" applyNumberFormat="1" applyFont="1" applyFill="1" applyBorder="1" applyAlignment="1">
      <alignment vertical="center" wrapText="1"/>
    </xf>
    <xf numFmtId="41" fontId="38" fillId="0" borderId="7" xfId="2" applyNumberFormat="1" applyFont="1" applyFill="1" applyBorder="1" applyAlignment="1">
      <alignment horizontal="center" vertical="center"/>
    </xf>
    <xf numFmtId="41" fontId="15" fillId="0" borderId="6" xfId="2" applyNumberFormat="1" applyFont="1" applyFill="1" applyBorder="1" applyAlignment="1">
      <alignment vertical="center" wrapText="1"/>
    </xf>
    <xf numFmtId="41" fontId="15" fillId="0" borderId="47" xfId="2" applyNumberFormat="1" applyFont="1" applyFill="1" applyBorder="1" applyAlignment="1">
      <alignment vertical="center" wrapText="1"/>
    </xf>
    <xf numFmtId="0" fontId="9" fillId="0" borderId="7" xfId="2" applyFill="1" applyBorder="1" applyAlignment="1">
      <alignment horizontal="center"/>
    </xf>
    <xf numFmtId="41" fontId="15" fillId="0" borderId="33" xfId="2" applyNumberFormat="1" applyFont="1" applyFill="1" applyBorder="1" applyAlignment="1">
      <alignment vertical="center" wrapText="1"/>
    </xf>
    <xf numFmtId="41" fontId="13" fillId="0" borderId="53" xfId="2" applyNumberFormat="1" applyFont="1" applyFill="1" applyBorder="1" applyAlignment="1">
      <alignment vertical="center" wrapText="1"/>
    </xf>
    <xf numFmtId="41" fontId="13" fillId="0" borderId="47" xfId="2" applyNumberFormat="1" applyFont="1" applyFill="1" applyBorder="1" applyAlignment="1">
      <alignment vertical="center" wrapText="1"/>
    </xf>
    <xf numFmtId="41" fontId="15" fillId="36" borderId="6" xfId="2" applyNumberFormat="1" applyFont="1" applyFill="1" applyBorder="1" applyAlignment="1">
      <alignment horizontal="center" vertical="center"/>
    </xf>
    <xf numFmtId="41" fontId="15" fillId="36" borderId="33" xfId="2" applyNumberFormat="1" applyFont="1" applyFill="1" applyBorder="1" applyAlignment="1">
      <alignment horizontal="center" vertical="center"/>
    </xf>
    <xf numFmtId="41" fontId="15" fillId="41" borderId="6" xfId="2" applyNumberFormat="1" applyFont="1" applyFill="1" applyBorder="1" applyAlignment="1">
      <alignment horizontal="center" vertical="center"/>
    </xf>
    <xf numFmtId="41" fontId="15" fillId="44" borderId="6" xfId="2" applyNumberFormat="1" applyFont="1" applyFill="1" applyBorder="1" applyAlignment="1">
      <alignment horizontal="center" vertical="center"/>
    </xf>
    <xf numFmtId="0" fontId="9" fillId="0" borderId="56" xfId="2" applyFill="1" applyBorder="1" applyAlignment="1">
      <alignment horizontal="center"/>
    </xf>
    <xf numFmtId="0" fontId="102" fillId="0" borderId="0" xfId="2" applyFont="1" applyFill="1" applyBorder="1"/>
    <xf numFmtId="0" fontId="103" fillId="0" borderId="0" xfId="2" applyFont="1" applyFill="1" applyBorder="1"/>
    <xf numFmtId="0" fontId="38" fillId="31" borderId="70" xfId="2" applyFont="1" applyFill="1" applyBorder="1" applyAlignment="1">
      <alignment horizontal="center" vertical="center" wrapText="1"/>
    </xf>
    <xf numFmtId="0" fontId="43" fillId="3" borderId="0" xfId="2" applyFont="1" applyFill="1" applyBorder="1" applyAlignment="1"/>
    <xf numFmtId="0" fontId="45" fillId="3" borderId="18" xfId="2" applyFont="1" applyFill="1" applyBorder="1" applyAlignment="1"/>
    <xf numFmtId="0" fontId="80" fillId="3" borderId="18" xfId="0" applyFont="1" applyFill="1" applyBorder="1"/>
    <xf numFmtId="0" fontId="105" fillId="0" borderId="0" xfId="0" applyFont="1"/>
    <xf numFmtId="0" fontId="105" fillId="0" borderId="0" xfId="0" applyFont="1" applyFill="1"/>
    <xf numFmtId="0" fontId="105" fillId="0" borderId="0" xfId="0" applyFont="1" applyFill="1" applyAlignment="1">
      <alignment horizontal="left" indent="2"/>
    </xf>
    <xf numFmtId="0" fontId="104" fillId="44" borderId="3" xfId="0" applyFont="1" applyFill="1" applyBorder="1" applyAlignment="1">
      <alignment horizontal="left"/>
    </xf>
    <xf numFmtId="0" fontId="105" fillId="44" borderId="3" xfId="0" applyFont="1" applyFill="1" applyBorder="1"/>
    <xf numFmtId="0" fontId="105" fillId="0" borderId="0" xfId="0" applyFont="1" applyAlignment="1">
      <alignment horizontal="left" indent="1"/>
    </xf>
    <xf numFmtId="0" fontId="105" fillId="0" borderId="0" xfId="0" applyFont="1" applyAlignment="1">
      <alignment horizontal="left" indent="3"/>
    </xf>
    <xf numFmtId="0" fontId="105" fillId="0" borderId="0" xfId="0" applyFont="1" applyAlignment="1">
      <alignment wrapText="1"/>
    </xf>
    <xf numFmtId="0" fontId="105" fillId="0" borderId="0" xfId="0" applyFont="1" applyAlignment="1">
      <alignment horizontal="left" wrapText="1"/>
    </xf>
    <xf numFmtId="0" fontId="105" fillId="0" borderId="0" xfId="0" applyFont="1" applyAlignment="1">
      <alignment horizontal="left" indent="2"/>
    </xf>
    <xf numFmtId="0" fontId="105" fillId="0" borderId="0" xfId="0" applyFont="1" applyAlignment="1">
      <alignment horizontal="left" indent="5"/>
    </xf>
    <xf numFmtId="0" fontId="104" fillId="38" borderId="3" xfId="0" applyFont="1" applyFill="1" applyBorder="1"/>
    <xf numFmtId="0" fontId="104" fillId="38" borderId="3" xfId="0" applyFont="1" applyFill="1" applyBorder="1" applyAlignment="1">
      <alignment horizontal="left"/>
    </xf>
    <xf numFmtId="0" fontId="105" fillId="45" borderId="3" xfId="0" applyFont="1" applyFill="1" applyBorder="1"/>
    <xf numFmtId="0" fontId="105" fillId="47" borderId="3" xfId="0" applyFont="1" applyFill="1" applyBorder="1"/>
    <xf numFmtId="0" fontId="104" fillId="48" borderId="3" xfId="0" applyFont="1" applyFill="1" applyBorder="1"/>
    <xf numFmtId="0" fontId="104" fillId="48" borderId="3" xfId="0" applyFont="1" applyFill="1" applyBorder="1" applyAlignment="1">
      <alignment horizontal="left"/>
    </xf>
    <xf numFmtId="0" fontId="105" fillId="0" borderId="0" xfId="0" applyFont="1" applyBorder="1" applyAlignment="1">
      <alignment horizontal="left" indent="1"/>
    </xf>
    <xf numFmtId="0" fontId="105" fillId="0" borderId="0" xfId="0" applyFont="1" applyBorder="1"/>
    <xf numFmtId="0" fontId="105" fillId="49" borderId="3" xfId="0" applyFont="1" applyFill="1" applyBorder="1"/>
    <xf numFmtId="0" fontId="109" fillId="44" borderId="3" xfId="0" applyFont="1" applyFill="1" applyBorder="1" applyAlignment="1">
      <alignment horizontal="left" indent="3"/>
    </xf>
    <xf numFmtId="0" fontId="109" fillId="38" borderId="3" xfId="0" applyFont="1" applyFill="1" applyBorder="1" applyAlignment="1">
      <alignment horizontal="left" indent="3"/>
    </xf>
    <xf numFmtId="0" fontId="109" fillId="48" borderId="3" xfId="0" applyFont="1" applyFill="1" applyBorder="1" applyAlignment="1">
      <alignment horizontal="left" indent="3"/>
    </xf>
    <xf numFmtId="0" fontId="107" fillId="49" borderId="3" xfId="0" applyFont="1" applyFill="1" applyBorder="1" applyAlignment="1">
      <alignment horizontal="left" indent="2"/>
    </xf>
    <xf numFmtId="0" fontId="104" fillId="49" borderId="3" xfId="0" applyFont="1" applyFill="1" applyBorder="1" applyAlignment="1">
      <alignment horizontal="left"/>
    </xf>
    <xf numFmtId="0" fontId="9" fillId="0" borderId="0" xfId="2" applyAlignment="1">
      <alignment horizontal="center" vertical="center"/>
    </xf>
    <xf numFmtId="0" fontId="107" fillId="45" borderId="3" xfId="0" applyFont="1" applyFill="1" applyBorder="1" applyAlignment="1">
      <alignment horizontal="left" indent="3"/>
    </xf>
    <xf numFmtId="0" fontId="105" fillId="0" borderId="20" xfId="0" applyFont="1" applyFill="1" applyBorder="1"/>
    <xf numFmtId="0" fontId="105" fillId="0" borderId="0" xfId="0" applyFont="1" applyFill="1" applyBorder="1"/>
    <xf numFmtId="0" fontId="104" fillId="44" borderId="3" xfId="0" applyFont="1" applyFill="1" applyBorder="1" applyAlignment="1">
      <alignment horizontal="center" vertical="center"/>
    </xf>
    <xf numFmtId="0" fontId="104" fillId="44" borderId="3" xfId="0" applyFont="1" applyFill="1" applyBorder="1" applyAlignment="1">
      <alignment horizontal="center" vertical="center" wrapText="1"/>
    </xf>
    <xf numFmtId="49" fontId="36" fillId="30" borderId="8" xfId="0" applyNumberFormat="1" applyFont="1" applyFill="1" applyBorder="1" applyAlignment="1">
      <alignment horizontal="center" vertical="center" wrapText="1"/>
    </xf>
    <xf numFmtId="49" fontId="114" fillId="4" borderId="7" xfId="40" applyNumberFormat="1" applyFont="1" applyFill="1" applyBorder="1" applyAlignment="1">
      <alignment horizontal="left" vertical="center" wrapText="1"/>
    </xf>
    <xf numFmtId="0" fontId="53" fillId="3" borderId="0" xfId="40" applyFont="1" applyFill="1"/>
    <xf numFmtId="0" fontId="109" fillId="0" borderId="20" xfId="0" applyFont="1" applyFill="1" applyBorder="1" applyAlignment="1">
      <alignment horizontal="left" indent="3"/>
    </xf>
    <xf numFmtId="0" fontId="115" fillId="2" borderId="0" xfId="2" applyFont="1" applyFill="1" applyBorder="1" applyAlignment="1"/>
    <xf numFmtId="0" fontId="81" fillId="0" borderId="0" xfId="0" applyFont="1" applyAlignment="1"/>
    <xf numFmtId="0" fontId="81" fillId="0" borderId="3" xfId="0" applyFont="1" applyBorder="1"/>
    <xf numFmtId="0" fontId="120" fillId="0" borderId="3" xfId="0" applyFont="1" applyBorder="1"/>
    <xf numFmtId="0" fontId="120" fillId="50" borderId="0" xfId="0" applyFont="1" applyFill="1"/>
    <xf numFmtId="0" fontId="121" fillId="0" borderId="0" xfId="0" applyFont="1"/>
    <xf numFmtId="0" fontId="80" fillId="0" borderId="44" xfId="0" applyFont="1" applyBorder="1"/>
    <xf numFmtId="0" fontId="81" fillId="44" borderId="0" xfId="0" applyFont="1" applyFill="1"/>
    <xf numFmtId="0" fontId="80" fillId="44" borderId="0" xfId="0" applyFont="1" applyFill="1"/>
    <xf numFmtId="0" fontId="9" fillId="0" borderId="0" xfId="2" applyFont="1" applyAlignment="1">
      <alignment vertical="center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5" xfId="2" applyFont="1" applyBorder="1" applyAlignment="1">
      <alignment vertical="center"/>
    </xf>
    <xf numFmtId="0" fontId="9" fillId="0" borderId="49" xfId="2" applyFont="1" applyBorder="1" applyAlignment="1">
      <alignment vertical="center" wrapText="1"/>
    </xf>
    <xf numFmtId="0" fontId="9" fillId="0" borderId="51" xfId="2" applyFont="1" applyBorder="1" applyAlignment="1">
      <alignment vertical="center" wrapText="1"/>
    </xf>
    <xf numFmtId="0" fontId="9" fillId="0" borderId="51" xfId="2" applyFont="1" applyBorder="1" applyAlignment="1">
      <alignment vertical="center"/>
    </xf>
    <xf numFmtId="0" fontId="9" fillId="0" borderId="59" xfId="2" applyFont="1" applyBorder="1" applyAlignment="1">
      <alignment vertical="center" wrapText="1"/>
    </xf>
    <xf numFmtId="0" fontId="9" fillId="0" borderId="38" xfId="2" applyFont="1" applyBorder="1" applyAlignment="1">
      <alignment vertical="center" wrapText="1"/>
    </xf>
    <xf numFmtId="0" fontId="9" fillId="0" borderId="38" xfId="2" applyFont="1" applyBorder="1" applyAlignment="1">
      <alignment vertical="center"/>
    </xf>
    <xf numFmtId="0" fontId="14" fillId="2" borderId="18" xfId="2" applyFont="1" applyFill="1" applyBorder="1" applyAlignment="1">
      <alignment horizontal="left"/>
    </xf>
    <xf numFmtId="0" fontId="15" fillId="45" borderId="3" xfId="2" applyFont="1" applyFill="1" applyBorder="1" applyAlignment="1">
      <alignment horizontal="center" vertical="center" wrapText="1"/>
    </xf>
    <xf numFmtId="3" fontId="15" fillId="45" borderId="19" xfId="2" applyNumberFormat="1" applyFont="1" applyFill="1" applyBorder="1" applyAlignment="1">
      <alignment horizontal="center" vertical="center"/>
    </xf>
    <xf numFmtId="4" fontId="15" fillId="45" borderId="19" xfId="2" applyNumberFormat="1" applyFont="1" applyFill="1" applyBorder="1" applyAlignment="1">
      <alignment horizontal="center" vertical="center"/>
    </xf>
    <xf numFmtId="0" fontId="13" fillId="45" borderId="0" xfId="2" applyFont="1" applyFill="1" applyAlignment="1">
      <alignment vertical="center"/>
    </xf>
    <xf numFmtId="41" fontId="13" fillId="44" borderId="3" xfId="2" applyNumberFormat="1" applyFont="1" applyFill="1" applyBorder="1" applyAlignment="1">
      <alignment vertical="center"/>
    </xf>
    <xf numFmtId="41" fontId="13" fillId="48" borderId="3" xfId="2" applyNumberFormat="1" applyFont="1" applyFill="1" applyBorder="1" applyAlignment="1">
      <alignment vertical="center"/>
    </xf>
    <xf numFmtId="0" fontId="105" fillId="46" borderId="27" xfId="0" applyFont="1" applyFill="1" applyBorder="1"/>
    <xf numFmtId="0" fontId="105" fillId="46" borderId="29" xfId="0" applyFont="1" applyFill="1" applyBorder="1"/>
    <xf numFmtId="0" fontId="105" fillId="46" borderId="30" xfId="0" applyFont="1" applyFill="1" applyBorder="1"/>
    <xf numFmtId="0" fontId="105" fillId="38" borderId="3" xfId="0" applyFont="1" applyFill="1" applyBorder="1" applyProtection="1">
      <protection locked="0"/>
    </xf>
    <xf numFmtId="0" fontId="107" fillId="49" borderId="3" xfId="0" applyFont="1" applyFill="1" applyBorder="1" applyProtection="1">
      <protection locked="0"/>
    </xf>
    <xf numFmtId="37" fontId="108" fillId="48" borderId="3" xfId="1" applyNumberFormat="1" applyFont="1" applyFill="1" applyBorder="1" applyAlignment="1" applyProtection="1">
      <alignment horizontal="center" vertical="center"/>
      <protection hidden="1"/>
    </xf>
    <xf numFmtId="37" fontId="107" fillId="48" borderId="3" xfId="1" applyNumberFormat="1" applyFont="1" applyFill="1" applyBorder="1" applyAlignment="1" applyProtection="1">
      <alignment horizontal="center" vertical="center"/>
      <protection hidden="1"/>
    </xf>
    <xf numFmtId="0" fontId="104" fillId="38" borderId="3" xfId="0" applyFont="1" applyFill="1" applyBorder="1" applyAlignment="1" applyProtection="1">
      <alignment horizontal="center" vertical="center"/>
      <protection hidden="1"/>
    </xf>
    <xf numFmtId="0" fontId="105" fillId="44" borderId="3" xfId="0" applyFont="1" applyFill="1" applyBorder="1" applyAlignment="1" applyProtection="1">
      <alignment horizontal="center" vertical="center"/>
      <protection hidden="1"/>
    </xf>
    <xf numFmtId="0" fontId="89" fillId="2" borderId="0" xfId="48" applyFont="1" applyFill="1" applyAlignment="1">
      <alignment horizontal="center" wrapText="1"/>
    </xf>
    <xf numFmtId="0" fontId="9" fillId="0" borderId="46" xfId="2" applyFont="1" applyFill="1" applyBorder="1" applyAlignment="1" applyProtection="1">
      <alignment horizontal="center"/>
      <protection locked="0"/>
    </xf>
    <xf numFmtId="41" fontId="38" fillId="0" borderId="36" xfId="2" applyNumberFormat="1" applyFont="1" applyFill="1" applyBorder="1" applyAlignment="1" applyProtection="1">
      <alignment vertical="center" wrapText="1"/>
      <protection locked="0"/>
    </xf>
    <xf numFmtId="41" fontId="116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118" fillId="0" borderId="98" xfId="0" applyFont="1" applyBorder="1" applyAlignment="1" applyProtection="1">
      <alignment horizontal="center" vertical="center"/>
      <protection locked="0"/>
    </xf>
    <xf numFmtId="0" fontId="80" fillId="0" borderId="46" xfId="0" applyFont="1" applyBorder="1" applyAlignment="1" applyProtection="1">
      <alignment horizontal="center" vertical="center"/>
      <protection locked="0"/>
    </xf>
    <xf numFmtId="165" fontId="80" fillId="0" borderId="37" xfId="1" applyNumberFormat="1" applyFont="1" applyBorder="1" applyAlignment="1" applyProtection="1">
      <alignment vertical="center"/>
      <protection locked="0"/>
    </xf>
    <xf numFmtId="0" fontId="9" fillId="0" borderId="4" xfId="2" applyFont="1" applyFill="1" applyBorder="1" applyAlignment="1" applyProtection="1">
      <alignment horizontal="center"/>
      <protection locked="0"/>
    </xf>
    <xf numFmtId="41" fontId="38" fillId="0" borderId="5" xfId="2" applyNumberFormat="1" applyFont="1" applyFill="1" applyBorder="1" applyAlignment="1" applyProtection="1">
      <alignment vertical="center" wrapText="1"/>
      <protection locked="0"/>
    </xf>
    <xf numFmtId="41" fontId="116" fillId="0" borderId="5" xfId="2" applyNumberFormat="1" applyFont="1" applyFill="1" applyBorder="1" applyAlignment="1" applyProtection="1">
      <alignment vertical="center" wrapText="1"/>
      <protection locked="0"/>
    </xf>
    <xf numFmtId="0" fontId="118" fillId="0" borderId="99" xfId="0" applyFont="1" applyBorder="1" applyAlignment="1" applyProtection="1">
      <alignment horizontal="center" vertical="center"/>
      <protection locked="0"/>
    </xf>
    <xf numFmtId="0" fontId="80" fillId="0" borderId="4" xfId="0" applyFont="1" applyBorder="1" applyAlignment="1" applyProtection="1">
      <alignment horizontal="center" vertical="center"/>
      <protection locked="0"/>
    </xf>
    <xf numFmtId="165" fontId="80" fillId="0" borderId="6" xfId="1" applyNumberFormat="1" applyFont="1" applyBorder="1" applyAlignment="1" applyProtection="1">
      <alignment vertical="center"/>
      <protection locked="0"/>
    </xf>
    <xf numFmtId="164" fontId="80" fillId="45" borderId="3" xfId="1" applyNumberFormat="1" applyFont="1" applyFill="1" applyBorder="1" applyAlignment="1" applyProtection="1">
      <alignment vertical="center"/>
      <protection locked="0"/>
    </xf>
    <xf numFmtId="43" fontId="80" fillId="45" borderId="3" xfId="1" applyFont="1" applyFill="1" applyBorder="1" applyAlignment="1" applyProtection="1">
      <alignment vertical="center"/>
      <protection locked="0"/>
    </xf>
    <xf numFmtId="0" fontId="122" fillId="0" borderId="99" xfId="0" applyFont="1" applyBorder="1" applyProtection="1">
      <protection locked="0"/>
    </xf>
    <xf numFmtId="1" fontId="80" fillId="0" borderId="4" xfId="0" applyNumberFormat="1" applyFont="1" applyBorder="1" applyProtection="1">
      <protection locked="0"/>
    </xf>
    <xf numFmtId="43" fontId="80" fillId="45" borderId="3" xfId="1" applyFont="1" applyFill="1" applyBorder="1" applyAlignment="1" applyProtection="1">
      <alignment horizontal="center" vertical="center"/>
      <protection locked="0"/>
    </xf>
    <xf numFmtId="41" fontId="38" fillId="0" borderId="98" xfId="2" applyNumberFormat="1" applyFont="1" applyFill="1" applyBorder="1" applyAlignment="1" applyProtection="1">
      <alignment vertical="center" wrapText="1"/>
      <protection locked="0"/>
    </xf>
    <xf numFmtId="0" fontId="122" fillId="0" borderId="37" xfId="0" applyFont="1" applyBorder="1" applyAlignment="1" applyProtection="1">
      <alignment horizontal="center" vertical="center"/>
      <protection locked="0"/>
    </xf>
    <xf numFmtId="0" fontId="80" fillId="0" borderId="37" xfId="0" applyFont="1" applyBorder="1" applyProtection="1">
      <protection locked="0"/>
    </xf>
    <xf numFmtId="41" fontId="38" fillId="0" borderId="99" xfId="2" applyNumberFormat="1" applyFont="1" applyFill="1" applyBorder="1" applyAlignment="1" applyProtection="1">
      <alignment vertical="center" wrapText="1"/>
      <protection locked="0"/>
    </xf>
    <xf numFmtId="41" fontId="122" fillId="0" borderId="4" xfId="2" applyNumberFormat="1" applyFont="1" applyFill="1" applyBorder="1" applyAlignment="1" applyProtection="1">
      <alignment vertical="center" wrapText="1"/>
      <protection locked="0"/>
    </xf>
    <xf numFmtId="0" fontId="122" fillId="0" borderId="6" xfId="0" applyFont="1" applyBorder="1" applyAlignment="1" applyProtection="1">
      <alignment horizontal="center" vertical="center"/>
      <protection locked="0"/>
    </xf>
    <xf numFmtId="1" fontId="80" fillId="0" borderId="4" xfId="0" applyNumberFormat="1" applyFont="1" applyBorder="1" applyAlignment="1" applyProtection="1">
      <alignment horizontal="center" vertical="center"/>
      <protection locked="0"/>
    </xf>
    <xf numFmtId="2" fontId="80" fillId="0" borderId="6" xfId="0" applyNumberFormat="1" applyFont="1" applyBorder="1" applyProtection="1">
      <protection locked="0"/>
    </xf>
    <xf numFmtId="0" fontId="80" fillId="0" borderId="6" xfId="0" applyFont="1" applyBorder="1" applyProtection="1">
      <protection locked="0"/>
    </xf>
    <xf numFmtId="1" fontId="80" fillId="45" borderId="3" xfId="1" applyNumberFormat="1" applyFont="1" applyFill="1" applyBorder="1" applyAlignment="1" applyProtection="1">
      <alignment horizontal="center" vertical="center"/>
      <protection locked="0"/>
    </xf>
    <xf numFmtId="2" fontId="80" fillId="45" borderId="3" xfId="1" applyNumberFormat="1" applyFont="1" applyFill="1" applyBorder="1" applyAlignment="1" applyProtection="1">
      <alignment horizontal="center" vertical="center"/>
      <protection locked="0"/>
    </xf>
    <xf numFmtId="41" fontId="116" fillId="0" borderId="36" xfId="2" applyNumberFormat="1" applyFont="1" applyFill="1" applyBorder="1" applyAlignment="1" applyProtection="1">
      <alignment vertical="center" wrapText="1"/>
      <protection locked="0"/>
    </xf>
    <xf numFmtId="2" fontId="80" fillId="0" borderId="46" xfId="0" applyNumberFormat="1" applyFont="1" applyBorder="1" applyAlignment="1" applyProtection="1">
      <alignment horizontal="center" vertical="center"/>
      <protection locked="0"/>
    </xf>
    <xf numFmtId="2" fontId="80" fillId="45" borderId="3" xfId="0" applyNumberFormat="1" applyFont="1" applyFill="1" applyBorder="1" applyAlignment="1" applyProtection="1">
      <alignment horizontal="center" vertical="center"/>
      <protection locked="0"/>
    </xf>
    <xf numFmtId="0" fontId="80" fillId="45" borderId="3" xfId="0" applyFont="1" applyFill="1" applyBorder="1" applyProtection="1">
      <protection locked="0"/>
    </xf>
    <xf numFmtId="1" fontId="80" fillId="0" borderId="4" xfId="1" applyNumberFormat="1" applyFont="1" applyBorder="1" applyAlignment="1" applyProtection="1">
      <alignment horizontal="center" vertical="center"/>
      <protection locked="0"/>
    </xf>
    <xf numFmtId="167" fontId="80" fillId="0" borderId="37" xfId="1" applyNumberFormat="1" applyFont="1" applyBorder="1" applyAlignment="1" applyProtection="1">
      <alignment vertical="center"/>
      <protection locked="0"/>
    </xf>
    <xf numFmtId="167" fontId="80" fillId="0" borderId="6" xfId="1" applyNumberFormat="1" applyFont="1" applyBorder="1" applyAlignment="1" applyProtection="1">
      <alignment vertical="center"/>
      <protection locked="0"/>
    </xf>
    <xf numFmtId="168" fontId="80" fillId="45" borderId="3" xfId="0" applyNumberFormat="1" applyFont="1" applyFill="1" applyBorder="1" applyAlignment="1" applyProtection="1">
      <alignment horizontal="center" vertical="center"/>
      <protection locked="0"/>
    </xf>
    <xf numFmtId="1" fontId="80" fillId="44" borderId="3" xfId="1" applyNumberFormat="1" applyFont="1" applyFill="1" applyBorder="1" applyAlignment="1" applyProtection="1">
      <alignment horizontal="center" vertical="center"/>
      <protection locked="0"/>
    </xf>
    <xf numFmtId="168" fontId="80" fillId="44" borderId="3" xfId="0" applyNumberFormat="1" applyFont="1" applyFill="1" applyBorder="1" applyAlignment="1" applyProtection="1">
      <alignment horizontal="center" vertical="center"/>
      <protection locked="0"/>
    </xf>
    <xf numFmtId="2" fontId="80" fillId="44" borderId="3" xfId="0" applyNumberFormat="1" applyFont="1" applyFill="1" applyBorder="1" applyAlignment="1" applyProtection="1">
      <alignment horizontal="center" vertical="center"/>
      <protection locked="0"/>
    </xf>
    <xf numFmtId="164" fontId="105" fillId="0" borderId="20" xfId="1" applyNumberFormat="1" applyFont="1" applyFill="1" applyBorder="1" applyProtection="1">
      <protection hidden="1"/>
    </xf>
    <xf numFmtId="167" fontId="105" fillId="0" borderId="20" xfId="1" applyNumberFormat="1" applyFont="1" applyFill="1" applyBorder="1" applyProtection="1">
      <protection hidden="1"/>
    </xf>
    <xf numFmtId="0" fontId="80" fillId="48" borderId="0" xfId="0" applyFont="1" applyFill="1"/>
    <xf numFmtId="0" fontId="80" fillId="51" borderId="0" xfId="0" applyFont="1" applyFill="1"/>
    <xf numFmtId="0" fontId="128" fillId="2" borderId="0" xfId="2" applyFont="1" applyFill="1" applyAlignment="1">
      <alignment horizontal="center" wrapText="1"/>
    </xf>
    <xf numFmtId="0" fontId="128" fillId="2" borderId="0" xfId="2" applyFont="1" applyFill="1" applyAlignment="1">
      <alignment horizontal="center"/>
    </xf>
    <xf numFmtId="49" fontId="76" fillId="48" borderId="7" xfId="0" applyNumberFormat="1" applyFont="1" applyFill="1" applyBorder="1" applyAlignment="1">
      <alignment horizontal="left" vertical="center" wrapText="1"/>
    </xf>
    <xf numFmtId="49" fontId="85" fillId="48" borderId="8" xfId="0" applyNumberFormat="1" applyFont="1" applyFill="1" applyBorder="1" applyAlignment="1">
      <alignment horizontal="left" vertical="center" wrapText="1"/>
    </xf>
    <xf numFmtId="41" fontId="15" fillId="48" borderId="8" xfId="2" applyNumberFormat="1" applyFont="1" applyFill="1" applyBorder="1" applyAlignment="1">
      <alignment horizontal="center" vertical="center"/>
    </xf>
    <xf numFmtId="0" fontId="100" fillId="2" borderId="0" xfId="2" applyFont="1" applyFill="1" applyBorder="1" applyAlignment="1">
      <alignment horizontal="right"/>
    </xf>
    <xf numFmtId="0" fontId="126" fillId="0" borderId="0" xfId="2" applyFont="1" applyBorder="1" applyAlignment="1">
      <alignment horizontal="right"/>
    </xf>
    <xf numFmtId="0" fontId="126" fillId="0" borderId="0" xfId="2" applyFont="1" applyAlignment="1">
      <alignment horizontal="right"/>
    </xf>
    <xf numFmtId="41" fontId="38" fillId="2" borderId="36" xfId="2" applyNumberFormat="1" applyFont="1" applyFill="1" applyBorder="1" applyAlignment="1">
      <alignment horizontal="center" vertical="center"/>
    </xf>
    <xf numFmtId="49" fontId="76" fillId="48" borderId="46" xfId="0" applyNumberFormat="1" applyFont="1" applyFill="1" applyBorder="1" applyAlignment="1">
      <alignment horizontal="left" vertical="center" wrapText="1"/>
    </xf>
    <xf numFmtId="49" fontId="76" fillId="48" borderId="36" xfId="0" applyNumberFormat="1" applyFont="1" applyFill="1" applyBorder="1" applyAlignment="1">
      <alignment horizontal="left" vertical="center" wrapText="1"/>
    </xf>
    <xf numFmtId="0" fontId="131" fillId="0" borderId="0" xfId="50" applyFont="1" applyAlignment="1">
      <alignment vertical="center"/>
    </xf>
    <xf numFmtId="0" fontId="112" fillId="48" borderId="41" xfId="50" applyFont="1" applyFill="1" applyBorder="1" applyAlignment="1">
      <alignment horizontal="center" vertical="center"/>
    </xf>
    <xf numFmtId="0" fontId="111" fillId="0" borderId="0" xfId="50" applyFont="1" applyAlignment="1">
      <alignment vertical="center"/>
    </xf>
    <xf numFmtId="0" fontId="131" fillId="0" borderId="4" xfId="50" applyFont="1" applyBorder="1" applyAlignment="1">
      <alignment horizontal="center" vertical="center"/>
    </xf>
    <xf numFmtId="0" fontId="131" fillId="0" borderId="5" xfId="50" applyFont="1" applyBorder="1" applyAlignment="1">
      <alignment vertical="center"/>
    </xf>
    <xf numFmtId="0" fontId="131" fillId="0" borderId="5" xfId="50" applyFont="1" applyBorder="1" applyAlignment="1">
      <alignment vertical="center" wrapText="1"/>
    </xf>
    <xf numFmtId="0" fontId="112" fillId="0" borderId="6" xfId="50" quotePrefix="1" applyFont="1" applyBorder="1" applyAlignment="1">
      <alignment horizontal="center" vertical="center"/>
    </xf>
    <xf numFmtId="170" fontId="112" fillId="0" borderId="6" xfId="50" quotePrefix="1" applyNumberFormat="1" applyFont="1" applyBorder="1" applyAlignment="1">
      <alignment horizontal="center" vertical="center"/>
    </xf>
    <xf numFmtId="171" fontId="112" fillId="0" borderId="6" xfId="50" quotePrefix="1" applyNumberFormat="1" applyFont="1" applyBorder="1" applyAlignment="1">
      <alignment horizontal="center" vertical="center"/>
    </xf>
    <xf numFmtId="0" fontId="112" fillId="48" borderId="40" xfId="50" applyFont="1" applyFill="1" applyBorder="1" applyAlignment="1">
      <alignment horizontal="center" vertical="center"/>
    </xf>
    <xf numFmtId="0" fontId="112" fillId="48" borderId="42" xfId="50" applyFont="1" applyFill="1" applyBorder="1" applyAlignment="1">
      <alignment horizontal="center" vertical="center"/>
    </xf>
    <xf numFmtId="0" fontId="131" fillId="0" borderId="59" xfId="50" applyFont="1" applyBorder="1" applyAlignment="1">
      <alignment horizontal="center" vertical="center"/>
    </xf>
    <xf numFmtId="0" fontId="131" fillId="0" borderId="38" xfId="50" applyFont="1" applyBorder="1" applyAlignment="1">
      <alignment vertical="center"/>
    </xf>
    <xf numFmtId="0" fontId="112" fillId="0" borderId="39" xfId="50" quotePrefix="1" applyFont="1" applyBorder="1" applyAlignment="1">
      <alignment horizontal="center" vertical="center"/>
    </xf>
    <xf numFmtId="0" fontId="131" fillId="0" borderId="7" xfId="50" applyFont="1" applyBorder="1" applyAlignment="1">
      <alignment horizontal="center" vertical="center"/>
    </xf>
    <xf numFmtId="0" fontId="131" fillId="0" borderId="8" xfId="50" applyFont="1" applyBorder="1" applyAlignment="1">
      <alignment vertical="center" wrapText="1"/>
    </xf>
    <xf numFmtId="171" fontId="112" fillId="0" borderId="33" xfId="50" quotePrefix="1" applyNumberFormat="1" applyFont="1" applyBorder="1" applyAlignment="1">
      <alignment horizontal="center" vertical="center"/>
    </xf>
    <xf numFmtId="0" fontId="15" fillId="48" borderId="3" xfId="2" applyFont="1" applyFill="1" applyBorder="1" applyAlignment="1">
      <alignment horizontal="center" vertical="center" wrapText="1"/>
    </xf>
    <xf numFmtId="0" fontId="13" fillId="48" borderId="3" xfId="2" applyFont="1" applyFill="1" applyBorder="1" applyAlignment="1">
      <alignment horizontal="center" vertical="center" wrapText="1"/>
    </xf>
    <xf numFmtId="0" fontId="93" fillId="2" borderId="0" xfId="2" applyFont="1" applyFill="1" applyBorder="1" applyAlignment="1">
      <alignment horizontal="left"/>
    </xf>
    <xf numFmtId="0" fontId="80" fillId="3" borderId="0" xfId="40" applyFont="1" applyFill="1" applyBorder="1"/>
    <xf numFmtId="0" fontId="132" fillId="0" borderId="0" xfId="52" applyFont="1"/>
    <xf numFmtId="0" fontId="132" fillId="0" borderId="0" xfId="52" applyFont="1" applyBorder="1"/>
    <xf numFmtId="0" fontId="132" fillId="3" borderId="0" xfId="52" applyFont="1" applyFill="1" applyBorder="1" applyAlignment="1">
      <alignment horizontal="left"/>
    </xf>
    <xf numFmtId="0" fontId="133" fillId="0" borderId="0" xfId="52" applyFont="1" applyBorder="1" applyAlignment="1">
      <alignment horizontal="center" vertical="center" wrapText="1"/>
    </xf>
    <xf numFmtId="0" fontId="132" fillId="3" borderId="0" xfId="52" applyFont="1" applyFill="1" applyBorder="1" applyAlignment="1"/>
    <xf numFmtId="0" fontId="132" fillId="0" borderId="0" xfId="52" applyFont="1" applyAlignment="1">
      <alignment vertical="center"/>
    </xf>
    <xf numFmtId="0" fontId="132" fillId="0" borderId="0" xfId="52" applyFont="1" applyBorder="1" applyProtection="1">
      <protection locked="0"/>
    </xf>
    <xf numFmtId="0" fontId="136" fillId="0" borderId="0" xfId="52" applyFont="1" applyAlignment="1">
      <alignment vertical="center"/>
    </xf>
    <xf numFmtId="0" fontId="133" fillId="53" borderId="3" xfId="52" applyFont="1" applyFill="1" applyBorder="1" applyAlignment="1"/>
    <xf numFmtId="0" fontId="134" fillId="0" borderId="0" xfId="0" applyFont="1" applyAlignment="1">
      <alignment horizontal="center"/>
    </xf>
    <xf numFmtId="0" fontId="132" fillId="53" borderId="3" xfId="52" applyFont="1" applyFill="1" applyBorder="1" applyAlignment="1">
      <alignment horizontal="center" vertical="center"/>
    </xf>
    <xf numFmtId="0" fontId="132" fillId="0" borderId="100" xfId="52" applyFont="1" applyBorder="1"/>
    <xf numFmtId="0" fontId="136" fillId="0" borderId="18" xfId="52" applyFont="1" applyBorder="1" applyAlignment="1">
      <alignment horizontal="left" vertical="center" wrapText="1" indent="2"/>
    </xf>
    <xf numFmtId="0" fontId="132" fillId="53" borderId="102" xfId="52" applyFont="1" applyFill="1" applyBorder="1" applyAlignment="1">
      <alignment horizontal="center" vertical="center"/>
    </xf>
    <xf numFmtId="0" fontId="139" fillId="0" borderId="100" xfId="52" applyFont="1" applyBorder="1" applyAlignment="1">
      <alignment horizontal="center"/>
    </xf>
    <xf numFmtId="39" fontId="139" fillId="0" borderId="100" xfId="1" applyNumberFormat="1" applyFont="1" applyBorder="1" applyAlignment="1">
      <alignment horizontal="center"/>
    </xf>
    <xf numFmtId="43" fontId="139" fillId="0" borderId="100" xfId="1" applyFont="1" applyBorder="1" applyAlignment="1">
      <alignment horizontal="center"/>
    </xf>
    <xf numFmtId="49" fontId="69" fillId="3" borderId="3" xfId="40" applyNumberFormat="1" applyFont="1" applyFill="1" applyBorder="1" applyAlignment="1">
      <alignment horizontal="left" vertical="center" wrapText="1"/>
    </xf>
    <xf numFmtId="49" fontId="141" fillId="3" borderId="3" xfId="40" applyNumberFormat="1" applyFont="1" applyFill="1" applyBorder="1" applyAlignment="1">
      <alignment horizontal="center" vertical="center" wrapText="1"/>
    </xf>
    <xf numFmtId="49" fontId="141" fillId="3" borderId="0" xfId="40" applyNumberFormat="1" applyFont="1" applyFill="1" applyBorder="1" applyAlignment="1">
      <alignment horizontal="center" vertical="center" wrapText="1"/>
    </xf>
    <xf numFmtId="164" fontId="69" fillId="3" borderId="0" xfId="1" applyNumberFormat="1" applyFont="1" applyFill="1" applyBorder="1" applyAlignment="1">
      <alignment horizontal="right" vertical="center" wrapText="1"/>
    </xf>
    <xf numFmtId="0" fontId="69" fillId="3" borderId="0" xfId="40" applyFont="1" applyFill="1"/>
    <xf numFmtId="0" fontId="123" fillId="2" borderId="0" xfId="48" applyFont="1" applyFill="1" applyAlignment="1">
      <alignment horizontal="center" vertical="center" wrapText="1"/>
    </xf>
    <xf numFmtId="0" fontId="85" fillId="3" borderId="44" xfId="40" applyFont="1" applyFill="1" applyBorder="1" applyAlignment="1">
      <alignment horizontal="center" vertical="center"/>
    </xf>
    <xf numFmtId="164" fontId="69" fillId="3" borderId="3" xfId="1" applyNumberFormat="1" applyFont="1" applyFill="1" applyBorder="1" applyAlignment="1">
      <alignment horizontal="right" wrapText="1"/>
    </xf>
    <xf numFmtId="49" fontId="69" fillId="3" borderId="0" xfId="4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1" fillId="3" borderId="0" xfId="0" applyFont="1" applyFill="1" applyAlignment="1">
      <alignment vertical="center"/>
    </xf>
    <xf numFmtId="0" fontId="14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41" fillId="0" borderId="0" xfId="0" applyFont="1"/>
    <xf numFmtId="0" fontId="141" fillId="3" borderId="0" xfId="0" applyFont="1" applyFill="1"/>
    <xf numFmtId="0" fontId="90" fillId="0" borderId="0" xfId="0" applyFont="1"/>
    <xf numFmtId="0" fontId="142" fillId="0" borderId="0" xfId="0" applyFont="1" applyFill="1"/>
    <xf numFmtId="0" fontId="90" fillId="0" borderId="0" xfId="0" applyFont="1" applyFill="1"/>
    <xf numFmtId="0" fontId="105" fillId="0" borderId="18" xfId="0" applyFont="1" applyBorder="1"/>
    <xf numFmtId="0" fontId="69" fillId="3" borderId="0" xfId="40" applyFont="1" applyFill="1" applyBorder="1"/>
    <xf numFmtId="49" fontId="141" fillId="3" borderId="3" xfId="40" applyNumberFormat="1" applyFont="1" applyFill="1" applyBorder="1" applyAlignment="1">
      <alignment horizontal="left" vertical="center" wrapText="1"/>
    </xf>
    <xf numFmtId="164" fontId="141" fillId="3" borderId="3" xfId="1" applyNumberFormat="1" applyFont="1" applyFill="1" applyBorder="1" applyAlignment="1">
      <alignment horizontal="right" vertical="center" wrapText="1"/>
    </xf>
    <xf numFmtId="0" fontId="141" fillId="3" borderId="0" xfId="40" applyFont="1" applyFill="1"/>
    <xf numFmtId="0" fontId="144" fillId="45" borderId="5" xfId="50" applyFont="1" applyFill="1" applyBorder="1" applyAlignment="1">
      <alignment vertical="center"/>
    </xf>
    <xf numFmtId="37" fontId="107" fillId="45" borderId="3" xfId="1" applyNumberFormat="1" applyFont="1" applyFill="1" applyBorder="1" applyAlignment="1" applyProtection="1">
      <protection hidden="1"/>
    </xf>
    <xf numFmtId="37" fontId="104" fillId="45" borderId="3" xfId="1" applyNumberFormat="1" applyFont="1" applyFill="1" applyBorder="1" applyAlignment="1" applyProtection="1">
      <alignment horizontal="center" vertical="center"/>
      <protection hidden="1"/>
    </xf>
    <xf numFmtId="164" fontId="105" fillId="46" borderId="3" xfId="1" applyNumberFormat="1" applyFont="1" applyFill="1" applyBorder="1" applyProtection="1">
      <protection hidden="1"/>
    </xf>
    <xf numFmtId="37" fontId="105" fillId="46" borderId="3" xfId="1" applyNumberFormat="1" applyFont="1" applyFill="1" applyBorder="1" applyProtection="1">
      <protection hidden="1"/>
    </xf>
    <xf numFmtId="37" fontId="105" fillId="47" borderId="3" xfId="1" applyNumberFormat="1" applyFont="1" applyFill="1" applyBorder="1" applyProtection="1">
      <protection hidden="1"/>
    </xf>
    <xf numFmtId="9" fontId="105" fillId="44" borderId="3" xfId="49" applyFont="1" applyFill="1" applyBorder="1" applyAlignment="1" applyProtection="1">
      <alignment horizontal="center"/>
      <protection hidden="1"/>
    </xf>
    <xf numFmtId="0" fontId="104" fillId="53" borderId="3" xfId="0" applyFont="1" applyFill="1" applyBorder="1" applyAlignment="1">
      <alignment horizontal="center" vertical="center" wrapText="1"/>
    </xf>
    <xf numFmtId="0" fontId="105" fillId="53" borderId="3" xfId="0" applyFont="1" applyFill="1" applyBorder="1"/>
    <xf numFmtId="0" fontId="105" fillId="0" borderId="3" xfId="0" applyFont="1" applyBorder="1"/>
    <xf numFmtId="49" fontId="76" fillId="48" borderId="4" xfId="0" applyNumberFormat="1" applyFont="1" applyFill="1" applyBorder="1" applyAlignment="1">
      <alignment horizontal="left" vertical="center" wrapText="1"/>
    </xf>
    <xf numFmtId="49" fontId="76" fillId="48" borderId="5" xfId="0" applyNumberFormat="1" applyFont="1" applyFill="1" applyBorder="1" applyAlignment="1">
      <alignment horizontal="left" vertical="center" wrapText="1"/>
    </xf>
    <xf numFmtId="0" fontId="133" fillId="0" borderId="0" xfId="52" applyFont="1" applyFill="1" applyBorder="1" applyAlignment="1">
      <alignment horizontal="left"/>
    </xf>
    <xf numFmtId="0" fontId="133" fillId="0" borderId="0" xfId="52" applyFont="1" applyFill="1" applyBorder="1" applyAlignment="1">
      <alignment horizontal="center" vertical="center" textRotation="90" wrapText="1"/>
    </xf>
    <xf numFmtId="0" fontId="132" fillId="0" borderId="0" xfId="52" applyFont="1" applyFill="1" applyBorder="1" applyAlignment="1">
      <alignment horizontal="center" vertical="center"/>
    </xf>
    <xf numFmtId="0" fontId="146" fillId="52" borderId="3" xfId="52" applyFont="1" applyFill="1" applyBorder="1" applyAlignment="1">
      <alignment horizontal="center" vertical="center" wrapText="1"/>
    </xf>
    <xf numFmtId="0" fontId="9" fillId="3" borderId="0" xfId="53" applyFont="1" applyFill="1" applyAlignment="1">
      <alignment vertical="center"/>
    </xf>
    <xf numFmtId="0" fontId="9" fillId="3" borderId="0" xfId="53" applyFont="1" applyFill="1" applyAlignment="1">
      <alignment horizontal="left" vertical="center" wrapText="1"/>
    </xf>
    <xf numFmtId="0" fontId="70" fillId="3" borderId="0" xfId="53" applyFont="1" applyFill="1" applyAlignment="1">
      <alignment horizontal="center" vertical="center"/>
    </xf>
    <xf numFmtId="0" fontId="69" fillId="3" borderId="0" xfId="53" applyFont="1" applyFill="1" applyAlignment="1">
      <alignment vertical="center"/>
    </xf>
    <xf numFmtId="0" fontId="89" fillId="2" borderId="0" xfId="54" applyFont="1" applyFill="1" applyAlignment="1">
      <alignment horizontal="center" wrapText="1"/>
    </xf>
    <xf numFmtId="0" fontId="12" fillId="3" borderId="0" xfId="53" applyFont="1" applyFill="1" applyAlignment="1">
      <alignment horizontal="center" vertical="center"/>
    </xf>
    <xf numFmtId="0" fontId="9" fillId="3" borderId="0" xfId="53" applyFill="1" applyAlignment="1">
      <alignment vertical="center"/>
    </xf>
    <xf numFmtId="0" fontId="69" fillId="3" borderId="0" xfId="53" applyFont="1" applyFill="1" applyAlignment="1">
      <alignment vertical="top"/>
    </xf>
    <xf numFmtId="0" fontId="80" fillId="3" borderId="0" xfId="55" applyFont="1" applyFill="1"/>
    <xf numFmtId="0" fontId="80" fillId="3" borderId="0" xfId="55" applyFont="1" applyFill="1" applyAlignment="1"/>
    <xf numFmtId="49" fontId="69" fillId="3" borderId="4" xfId="55" applyNumberFormat="1" applyFont="1" applyFill="1" applyBorder="1" applyAlignment="1">
      <alignment horizontal="left" vertical="center" wrapText="1"/>
    </xf>
    <xf numFmtId="49" fontId="69" fillId="3" borderId="5" xfId="55" applyNumberFormat="1" applyFont="1" applyFill="1" applyBorder="1" applyAlignment="1">
      <alignment horizontal="left" vertical="center" wrapText="1"/>
    </xf>
    <xf numFmtId="0" fontId="80" fillId="48" borderId="0" xfId="55" applyFont="1" applyFill="1"/>
    <xf numFmtId="49" fontId="69" fillId="3" borderId="4" xfId="55" applyNumberFormat="1" applyFont="1" applyFill="1" applyBorder="1" applyAlignment="1">
      <alignment vertical="center" wrapText="1"/>
    </xf>
    <xf numFmtId="0" fontId="96" fillId="0" borderId="103" xfId="2" applyFont="1" applyBorder="1" applyAlignment="1">
      <alignment horizontal="right"/>
    </xf>
    <xf numFmtId="0" fontId="148" fillId="3" borderId="0" xfId="2" applyFont="1" applyFill="1" applyAlignment="1">
      <alignment horizontal="right" vertical="center"/>
    </xf>
    <xf numFmtId="165" fontId="69" fillId="3" borderId="5" xfId="1" applyNumberFormat="1" applyFont="1" applyFill="1" applyBorder="1" applyAlignment="1">
      <alignment horizontal="right" wrapText="1"/>
    </xf>
    <xf numFmtId="165" fontId="69" fillId="3" borderId="6" xfId="1" applyNumberFormat="1" applyFont="1" applyFill="1" applyBorder="1" applyAlignment="1">
      <alignment horizontal="right" wrapText="1"/>
    </xf>
    <xf numFmtId="165" fontId="73" fillId="48" borderId="5" xfId="1" applyNumberFormat="1" applyFont="1" applyFill="1" applyBorder="1" applyAlignment="1">
      <alignment horizontal="right" wrapText="1"/>
    </xf>
    <xf numFmtId="165" fontId="73" fillId="48" borderId="6" xfId="1" applyNumberFormat="1" applyFont="1" applyFill="1" applyBorder="1" applyAlignment="1">
      <alignment horizontal="right" wrapText="1"/>
    </xf>
    <xf numFmtId="165" fontId="69" fillId="0" borderId="5" xfId="1" applyNumberFormat="1" applyFont="1" applyBorder="1" applyAlignment="1">
      <alignment horizontal="right" wrapText="1"/>
    </xf>
    <xf numFmtId="165" fontId="82" fillId="48" borderId="5" xfId="1" applyNumberFormat="1" applyFont="1" applyFill="1" applyBorder="1" applyAlignment="1">
      <alignment horizontal="left" wrapText="1"/>
    </xf>
    <xf numFmtId="165" fontId="82" fillId="48" borderId="6" xfId="1" applyNumberFormat="1" applyFont="1" applyFill="1" applyBorder="1" applyAlignment="1">
      <alignment horizontal="left" wrapText="1"/>
    </xf>
    <xf numFmtId="165" fontId="82" fillId="51" borderId="5" xfId="1" applyNumberFormat="1" applyFont="1" applyFill="1" applyBorder="1" applyAlignment="1">
      <alignment horizontal="left" wrapText="1"/>
    </xf>
    <xf numFmtId="165" fontId="82" fillId="51" borderId="6" xfId="1" applyNumberFormat="1" applyFont="1" applyFill="1" applyBorder="1" applyAlignment="1">
      <alignment horizontal="left" wrapText="1"/>
    </xf>
    <xf numFmtId="165" fontId="83" fillId="48" borderId="8" xfId="1" applyNumberFormat="1" applyFont="1" applyFill="1" applyBorder="1" applyAlignment="1">
      <alignment horizontal="right" wrapText="1"/>
    </xf>
    <xf numFmtId="165" fontId="80" fillId="0" borderId="0" xfId="1" applyNumberFormat="1" applyFont="1"/>
    <xf numFmtId="165" fontId="85" fillId="48" borderId="36" xfId="1" applyNumberFormat="1" applyFont="1" applyFill="1" applyBorder="1" applyAlignment="1">
      <alignment horizontal="left"/>
    </xf>
    <xf numFmtId="165" fontId="85" fillId="48" borderId="37" xfId="1" applyNumberFormat="1" applyFont="1" applyFill="1" applyBorder="1" applyAlignment="1">
      <alignment horizontal="left"/>
    </xf>
    <xf numFmtId="165" fontId="85" fillId="48" borderId="5" xfId="1" applyNumberFormat="1" applyFont="1" applyFill="1" applyBorder="1" applyAlignment="1">
      <alignment horizontal="left" wrapText="1"/>
    </xf>
    <xf numFmtId="165" fontId="85" fillId="48" borderId="5" xfId="1" applyNumberFormat="1" applyFont="1" applyFill="1" applyBorder="1" applyAlignment="1">
      <alignment horizontal="left" wrapText="1" indent="1"/>
    </xf>
    <xf numFmtId="41" fontId="38" fillId="2" borderId="19" xfId="2" applyNumberFormat="1" applyFont="1" applyFill="1" applyBorder="1" applyAlignment="1">
      <alignment horizontal="center" vertical="center" wrapText="1"/>
    </xf>
    <xf numFmtId="41" fontId="38" fillId="2" borderId="21" xfId="2" applyNumberFormat="1" applyFont="1" applyFill="1" applyBorder="1" applyAlignment="1">
      <alignment horizontal="center" vertical="center" wrapText="1"/>
    </xf>
    <xf numFmtId="41" fontId="38" fillId="6" borderId="3" xfId="2" applyNumberFormat="1" applyFont="1" applyFill="1" applyBorder="1" applyAlignment="1">
      <alignment vertical="center" wrapText="1"/>
    </xf>
    <xf numFmtId="49" fontId="76" fillId="48" borderId="4" xfId="0" applyNumberFormat="1" applyFont="1" applyFill="1" applyBorder="1" applyAlignment="1">
      <alignment horizontal="left" vertical="center" wrapText="1"/>
    </xf>
    <xf numFmtId="49" fontId="76" fillId="48" borderId="5" xfId="0" applyNumberFormat="1" applyFont="1" applyFill="1" applyBorder="1" applyAlignment="1">
      <alignment horizontal="left" vertical="center" wrapText="1"/>
    </xf>
    <xf numFmtId="0" fontId="13" fillId="48" borderId="3" xfId="2" applyFont="1" applyFill="1" applyBorder="1" applyAlignment="1">
      <alignment horizontal="center" vertical="center" wrapText="1"/>
    </xf>
    <xf numFmtId="41" fontId="38" fillId="6" borderId="3" xfId="2" applyNumberFormat="1" applyFont="1" applyFill="1" applyBorder="1" applyAlignment="1">
      <alignment horizontal="left" vertical="top" wrapText="1"/>
    </xf>
    <xf numFmtId="41" fontId="38" fillId="2" borderId="27" xfId="2" applyNumberFormat="1" applyFont="1" applyFill="1" applyBorder="1" applyAlignment="1">
      <alignment horizontal="center" vertical="center"/>
    </xf>
    <xf numFmtId="41" fontId="38" fillId="2" borderId="44" xfId="2" applyNumberFormat="1" applyFont="1" applyFill="1" applyBorder="1" applyAlignment="1">
      <alignment horizontal="center" vertical="center"/>
    </xf>
    <xf numFmtId="41" fontId="15" fillId="2" borderId="44" xfId="2" applyNumberFormat="1" applyFont="1" applyFill="1" applyBorder="1" applyAlignment="1">
      <alignment horizontal="center" vertical="center"/>
    </xf>
    <xf numFmtId="41" fontId="15" fillId="2" borderId="28" xfId="2" applyNumberFormat="1" applyFont="1" applyFill="1" applyBorder="1" applyAlignment="1">
      <alignment horizontal="center" vertical="center"/>
    </xf>
    <xf numFmtId="41" fontId="38" fillId="0" borderId="3" xfId="2" applyNumberFormat="1" applyFont="1" applyFill="1" applyBorder="1" applyAlignment="1">
      <alignment vertical="center" wrapText="1"/>
    </xf>
    <xf numFmtId="165" fontId="85" fillId="48" borderId="8" xfId="1" applyNumberFormat="1" applyFont="1" applyFill="1" applyBorder="1" applyAlignment="1">
      <alignment horizontal="left" wrapText="1"/>
    </xf>
    <xf numFmtId="49" fontId="37" fillId="3" borderId="99" xfId="40" applyNumberFormat="1" applyFont="1" applyFill="1" applyBorder="1" applyAlignment="1">
      <alignment horizontal="left" vertical="center" wrapText="1"/>
    </xf>
    <xf numFmtId="165" fontId="73" fillId="30" borderId="5" xfId="1" applyNumberFormat="1" applyFont="1" applyFill="1" applyBorder="1" applyAlignment="1">
      <alignment horizontal="left" wrapText="1"/>
    </xf>
    <xf numFmtId="165" fontId="37" fillId="3" borderId="5" xfId="1" applyNumberFormat="1" applyFont="1" applyFill="1" applyBorder="1" applyAlignment="1">
      <alignment horizontal="right" wrapText="1"/>
    </xf>
    <xf numFmtId="165" fontId="37" fillId="3" borderId="51" xfId="1" applyNumberFormat="1" applyFont="1" applyFill="1" applyBorder="1" applyAlignment="1">
      <alignment horizontal="right" wrapText="1"/>
    </xf>
    <xf numFmtId="165" fontId="37" fillId="3" borderId="27" xfId="1" applyNumberFormat="1" applyFont="1" applyFill="1" applyBorder="1" applyAlignment="1">
      <alignment horizontal="right" wrapText="1"/>
    </xf>
    <xf numFmtId="165" fontId="37" fillId="3" borderId="44" xfId="1" applyNumberFormat="1" applyFont="1" applyFill="1" applyBorder="1" applyAlignment="1">
      <alignment horizontal="right" wrapText="1"/>
    </xf>
    <xf numFmtId="165" fontId="37" fillId="3" borderId="29" xfId="1" applyNumberFormat="1" applyFont="1" applyFill="1" applyBorder="1" applyAlignment="1">
      <alignment horizontal="right" wrapText="1"/>
    </xf>
    <xf numFmtId="165" fontId="37" fillId="3" borderId="0" xfId="1" applyNumberFormat="1" applyFont="1" applyFill="1" applyBorder="1" applyAlignment="1">
      <alignment horizontal="right" wrapText="1"/>
    </xf>
    <xf numFmtId="165" fontId="37" fillId="3" borderId="30" xfId="1" applyNumberFormat="1" applyFont="1" applyFill="1" applyBorder="1" applyAlignment="1">
      <alignment horizontal="right" wrapText="1"/>
    </xf>
    <xf numFmtId="165" fontId="37" fillId="3" borderId="18" xfId="1" applyNumberFormat="1" applyFont="1" applyFill="1" applyBorder="1" applyAlignment="1">
      <alignment horizontal="right" wrapText="1"/>
    </xf>
    <xf numFmtId="165" fontId="37" fillId="3" borderId="38" xfId="1" applyNumberFormat="1" applyFont="1" applyFill="1" applyBorder="1" applyAlignment="1">
      <alignment horizontal="right" wrapText="1"/>
    </xf>
    <xf numFmtId="165" fontId="73" fillId="4" borderId="5" xfId="1" applyNumberFormat="1" applyFont="1" applyFill="1" applyBorder="1" applyAlignment="1">
      <alignment horizontal="left" wrapText="1"/>
    </xf>
    <xf numFmtId="165" fontId="36" fillId="30" borderId="8" xfId="1" applyNumberFormat="1" applyFont="1" applyFill="1" applyBorder="1" applyAlignment="1">
      <alignment horizontal="left" wrapText="1"/>
    </xf>
    <xf numFmtId="41" fontId="38" fillId="6" borderId="19" xfId="2" applyNumberFormat="1" applyFont="1" applyFill="1" applyBorder="1" applyAlignment="1">
      <alignment vertical="center" wrapText="1"/>
    </xf>
    <xf numFmtId="41" fontId="38" fillId="2" borderId="106" xfId="2" applyNumberFormat="1" applyFont="1" applyFill="1" applyBorder="1" applyAlignment="1">
      <alignment horizontal="center" vertical="center"/>
    </xf>
    <xf numFmtId="41" fontId="38" fillId="2" borderId="3" xfId="2" applyNumberFormat="1" applyFont="1" applyFill="1" applyBorder="1" applyAlignment="1">
      <alignment horizontal="center" vertical="center"/>
    </xf>
    <xf numFmtId="43" fontId="7" fillId="3" borderId="0" xfId="40" applyNumberFormat="1" applyFill="1"/>
    <xf numFmtId="165" fontId="38" fillId="29" borderId="41" xfId="1" applyNumberFormat="1" applyFont="1" applyFill="1" applyBorder="1" applyAlignment="1">
      <alignment vertical="center"/>
    </xf>
    <xf numFmtId="165" fontId="38" fillId="29" borderId="42" xfId="1" applyNumberFormat="1" applyFont="1" applyFill="1" applyBorder="1" applyAlignment="1">
      <alignment vertical="center"/>
    </xf>
    <xf numFmtId="43" fontId="22" fillId="0" borderId="0" xfId="2" applyNumberFormat="1" applyFont="1"/>
    <xf numFmtId="165" fontId="78" fillId="0" borderId="0" xfId="1" applyNumberFormat="1" applyFont="1" applyAlignment="1">
      <alignment vertical="center"/>
    </xf>
    <xf numFmtId="165" fontId="22" fillId="0" borderId="0" xfId="2" applyNumberFormat="1" applyFont="1"/>
    <xf numFmtId="165" fontId="80" fillId="3" borderId="0" xfId="55" applyNumberFormat="1" applyFont="1" applyFill="1"/>
    <xf numFmtId="165" fontId="69" fillId="3" borderId="3" xfId="1" applyNumberFormat="1" applyFont="1" applyFill="1" applyBorder="1" applyAlignment="1">
      <alignment horizontal="right" wrapText="1"/>
    </xf>
    <xf numFmtId="165" fontId="69" fillId="3" borderId="3" xfId="1" applyNumberFormat="1" applyFont="1" applyFill="1" applyBorder="1" applyAlignment="1">
      <alignment horizontal="right" vertical="center" wrapText="1"/>
    </xf>
    <xf numFmtId="49" fontId="71" fillId="5" borderId="3" xfId="2" applyNumberFormat="1" applyFont="1" applyFill="1" applyBorder="1" applyAlignment="1">
      <alignment horizontal="center" vertical="center" wrapText="1"/>
    </xf>
    <xf numFmtId="49" fontId="150" fillId="5" borderId="3" xfId="2" applyNumberFormat="1" applyFont="1" applyFill="1" applyBorder="1" applyAlignment="1">
      <alignment horizontal="center" vertical="center" wrapText="1"/>
    </xf>
    <xf numFmtId="49" fontId="150" fillId="5" borderId="3" xfId="2" applyNumberFormat="1" applyFont="1" applyFill="1" applyBorder="1" applyAlignment="1">
      <alignment horizontal="left" vertical="center" wrapText="1"/>
    </xf>
    <xf numFmtId="165" fontId="73" fillId="30" borderId="51" xfId="1" applyNumberFormat="1" applyFont="1" applyFill="1" applyBorder="1" applyAlignment="1">
      <alignment horizontal="left" wrapText="1"/>
    </xf>
    <xf numFmtId="165" fontId="37" fillId="3" borderId="3" xfId="1" applyNumberFormat="1" applyFont="1" applyFill="1" applyBorder="1" applyAlignment="1">
      <alignment horizontal="right" wrapText="1"/>
    </xf>
    <xf numFmtId="165" fontId="0" fillId="0" borderId="0" xfId="0" applyNumberFormat="1"/>
    <xf numFmtId="165" fontId="0" fillId="0" borderId="0" xfId="1" applyNumberFormat="1" applyFont="1"/>
    <xf numFmtId="165" fontId="107" fillId="49" borderId="3" xfId="1" applyNumberFormat="1" applyFont="1" applyFill="1" applyBorder="1" applyProtection="1">
      <protection locked="0"/>
    </xf>
    <xf numFmtId="165" fontId="22" fillId="0" borderId="0" xfId="1" applyNumberFormat="1" applyFont="1" applyAlignment="1">
      <alignment vertical="center"/>
    </xf>
    <xf numFmtId="165" fontId="22" fillId="0" borderId="0" xfId="1" applyNumberFormat="1" applyFont="1"/>
    <xf numFmtId="165" fontId="7" fillId="3" borderId="0" xfId="1" applyNumberFormat="1" applyFont="1" applyFill="1"/>
    <xf numFmtId="0" fontId="13" fillId="0" borderId="45" xfId="2" applyFont="1" applyFill="1" applyBorder="1" applyAlignment="1">
      <alignment horizontal="center"/>
    </xf>
    <xf numFmtId="165" fontId="9" fillId="0" borderId="47" xfId="1" applyNumberFormat="1" applyFont="1" applyFill="1" applyBorder="1" applyAlignment="1">
      <alignment horizontal="center"/>
    </xf>
    <xf numFmtId="165" fontId="38" fillId="0" borderId="47" xfId="1" applyNumberFormat="1" applyFont="1" applyFill="1" applyBorder="1" applyAlignment="1">
      <alignment vertical="center" wrapText="1"/>
    </xf>
    <xf numFmtId="165" fontId="9" fillId="0" borderId="47" xfId="1" applyNumberFormat="1" applyFont="1" applyFill="1" applyBorder="1" applyAlignment="1">
      <alignment horizontal="left" wrapText="1"/>
    </xf>
    <xf numFmtId="165" fontId="9" fillId="0" borderId="47" xfId="1" applyNumberFormat="1" applyFont="1" applyFill="1" applyBorder="1" applyAlignment="1">
      <alignment vertical="center" wrapText="1"/>
    </xf>
    <xf numFmtId="165" fontId="38" fillId="0" borderId="46" xfId="1" applyNumberFormat="1" applyFont="1" applyFill="1" applyBorder="1" applyAlignment="1">
      <alignment horizontal="center" vertical="center"/>
    </xf>
    <xf numFmtId="165" fontId="38" fillId="0" borderId="5" xfId="1" applyNumberFormat="1" applyFont="1" applyFill="1" applyBorder="1" applyAlignment="1">
      <alignment horizontal="center" vertical="center"/>
    </xf>
    <xf numFmtId="165" fontId="15" fillId="36" borderId="6" xfId="1" applyNumberFormat="1" applyFont="1" applyFill="1" applyBorder="1" applyAlignment="1">
      <alignment horizontal="center" vertical="center"/>
    </xf>
    <xf numFmtId="165" fontId="15" fillId="41" borderId="6" xfId="1" applyNumberFormat="1" applyFont="1" applyFill="1" applyBorder="1" applyAlignment="1">
      <alignment horizontal="center" vertical="center"/>
    </xf>
    <xf numFmtId="165" fontId="38" fillId="0" borderId="4" xfId="1" applyNumberFormat="1" applyFont="1" applyFill="1" applyBorder="1" applyAlignment="1">
      <alignment horizontal="center" vertical="center"/>
    </xf>
    <xf numFmtId="165" fontId="15" fillId="44" borderId="6" xfId="1" applyNumberFormat="1" applyFont="1" applyFill="1" applyBorder="1" applyAlignment="1">
      <alignment horizontal="center" vertical="center"/>
    </xf>
    <xf numFmtId="165" fontId="38" fillId="0" borderId="47" xfId="1" applyNumberFormat="1" applyFont="1" applyFill="1" applyBorder="1" applyAlignment="1">
      <alignment wrapText="1"/>
    </xf>
    <xf numFmtId="165" fontId="38" fillId="0" borderId="53" xfId="1" applyNumberFormat="1" applyFont="1" applyFill="1" applyBorder="1" applyAlignment="1">
      <alignment vertical="center" wrapText="1"/>
    </xf>
    <xf numFmtId="165" fontId="38" fillId="0" borderId="8" xfId="1" applyNumberFormat="1" applyFont="1" applyFill="1" applyBorder="1" applyAlignment="1">
      <alignment horizontal="center" vertical="center"/>
    </xf>
    <xf numFmtId="165" fontId="15" fillId="36" borderId="33" xfId="1" applyNumberFormat="1" applyFont="1" applyFill="1" applyBorder="1" applyAlignment="1">
      <alignment horizontal="center" vertical="center"/>
    </xf>
    <xf numFmtId="165" fontId="15" fillId="41" borderId="33" xfId="1" applyNumberFormat="1" applyFont="1" applyFill="1" applyBorder="1" applyAlignment="1">
      <alignment horizontal="center" vertical="center"/>
    </xf>
    <xf numFmtId="165" fontId="15" fillId="44" borderId="33" xfId="1" applyNumberFormat="1" applyFont="1" applyFill="1" applyBorder="1" applyAlignment="1">
      <alignment horizontal="center" vertical="center"/>
    </xf>
    <xf numFmtId="165" fontId="9" fillId="0" borderId="56" xfId="1" applyNumberFormat="1" applyFont="1" applyFill="1" applyBorder="1" applyAlignment="1">
      <alignment horizontal="center"/>
    </xf>
    <xf numFmtId="165" fontId="38" fillId="0" borderId="47" xfId="1" applyNumberFormat="1" applyFont="1" applyFill="1" applyBorder="1" applyAlignment="1">
      <alignment horizontal="center" wrapText="1"/>
    </xf>
    <xf numFmtId="165" fontId="15" fillId="0" borderId="47" xfId="1" applyNumberFormat="1" applyFont="1" applyFill="1" applyBorder="1" applyAlignment="1">
      <alignment vertical="center" wrapText="1"/>
    </xf>
    <xf numFmtId="165" fontId="38" fillId="0" borderId="51" xfId="1" applyNumberFormat="1" applyFont="1" applyFill="1" applyBorder="1" applyAlignment="1">
      <alignment horizontal="center" vertical="center"/>
    </xf>
    <xf numFmtId="165" fontId="9" fillId="0" borderId="48" xfId="1" applyNumberFormat="1" applyFont="1" applyFill="1" applyBorder="1" applyAlignment="1">
      <alignment horizontal="center"/>
    </xf>
    <xf numFmtId="165" fontId="38" fillId="0" borderId="48" xfId="1" applyNumberFormat="1" applyFont="1" applyFill="1" applyBorder="1" applyAlignment="1">
      <alignment vertical="center" wrapText="1"/>
    </xf>
    <xf numFmtId="165" fontId="15" fillId="0" borderId="48" xfId="1" applyNumberFormat="1" applyFont="1" applyFill="1" applyBorder="1" applyAlignment="1">
      <alignment vertical="center" wrapText="1"/>
    </xf>
    <xf numFmtId="165" fontId="38" fillId="0" borderId="48" xfId="1" applyNumberFormat="1" applyFont="1" applyFill="1" applyBorder="1" applyAlignment="1">
      <alignment wrapText="1"/>
    </xf>
    <xf numFmtId="165" fontId="9" fillId="0" borderId="48" xfId="1" applyNumberFormat="1" applyFont="1" applyFill="1" applyBorder="1" applyAlignment="1">
      <alignment vertical="center" wrapText="1"/>
    </xf>
    <xf numFmtId="165" fontId="38" fillId="0" borderId="49" xfId="1" applyNumberFormat="1" applyFont="1" applyFill="1" applyBorder="1" applyAlignment="1">
      <alignment horizontal="center" vertical="center"/>
    </xf>
    <xf numFmtId="165" fontId="38" fillId="0" borderId="48" xfId="1" applyNumberFormat="1" applyFont="1" applyFill="1" applyBorder="1" applyAlignment="1">
      <alignment horizontal="left" wrapText="1"/>
    </xf>
    <xf numFmtId="41" fontId="38" fillId="2" borderId="3" xfId="2" applyNumberFormat="1" applyFont="1" applyFill="1" applyBorder="1" applyAlignment="1">
      <alignment horizontal="center" vertical="center" wrapText="1"/>
    </xf>
    <xf numFmtId="41" fontId="38" fillId="2" borderId="3" xfId="2" applyNumberFormat="1" applyFont="1" applyFill="1" applyBorder="1" applyAlignment="1">
      <alignment vertical="center" wrapText="1"/>
    </xf>
    <xf numFmtId="0" fontId="9" fillId="0" borderId="59" xfId="2" applyFill="1" applyBorder="1" applyAlignment="1">
      <alignment horizontal="center"/>
    </xf>
    <xf numFmtId="41" fontId="38" fillId="0" borderId="38" xfId="2" applyNumberFormat="1" applyFont="1" applyFill="1" applyBorder="1" applyAlignment="1">
      <alignment horizontal="center" vertical="center"/>
    </xf>
    <xf numFmtId="165" fontId="38" fillId="0" borderId="25" xfId="1" applyNumberFormat="1" applyFont="1" applyFill="1" applyBorder="1" applyAlignment="1">
      <alignment vertical="center" wrapText="1"/>
    </xf>
    <xf numFmtId="165" fontId="38" fillId="0" borderId="26" xfId="1" applyNumberFormat="1" applyFont="1" applyFill="1" applyBorder="1" applyAlignment="1">
      <alignment horizontal="center" vertical="center"/>
    </xf>
    <xf numFmtId="165" fontId="80" fillId="0" borderId="0" xfId="0" applyNumberFormat="1" applyFont="1"/>
    <xf numFmtId="0" fontId="38" fillId="2" borderId="48" xfId="2" applyFont="1" applyFill="1" applyBorder="1" applyAlignment="1">
      <alignment vertical="center"/>
    </xf>
    <xf numFmtId="0" fontId="42" fillId="31" borderId="3" xfId="2" applyFont="1" applyFill="1" applyBorder="1" applyAlignment="1">
      <alignment horizontal="center" vertical="center" wrapText="1"/>
    </xf>
    <xf numFmtId="41" fontId="38" fillId="2" borderId="4" xfId="2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/>
    </xf>
    <xf numFmtId="0" fontId="13" fillId="0" borderId="5" xfId="2" applyFont="1" applyBorder="1" applyAlignment="1">
      <alignment vertical="center" wrapText="1"/>
    </xf>
    <xf numFmtId="165" fontId="9" fillId="0" borderId="5" xfId="57" applyNumberFormat="1" applyFont="1" applyBorder="1" applyAlignment="1">
      <alignment vertical="center"/>
    </xf>
    <xf numFmtId="165" fontId="13" fillId="0" borderId="6" xfId="57" applyNumberFormat="1" applyFont="1" applyBorder="1" applyAlignment="1">
      <alignment vertical="center"/>
    </xf>
    <xf numFmtId="0" fontId="13" fillId="0" borderId="51" xfId="2" applyFont="1" applyBorder="1" applyAlignment="1">
      <alignment vertical="center" wrapText="1"/>
    </xf>
    <xf numFmtId="165" fontId="13" fillId="0" borderId="41" xfId="57" applyNumberFormat="1" applyFont="1" applyBorder="1" applyAlignment="1">
      <alignment vertical="center"/>
    </xf>
    <xf numFmtId="165" fontId="9" fillId="0" borderId="4" xfId="57" applyNumberFormat="1" applyFont="1" applyBorder="1" applyAlignment="1">
      <alignment vertical="center" wrapText="1"/>
    </xf>
    <xf numFmtId="165" fontId="13" fillId="0" borderId="5" xfId="57" applyNumberFormat="1" applyFont="1" applyBorder="1" applyAlignment="1">
      <alignment vertical="center" wrapText="1"/>
    </xf>
    <xf numFmtId="165" fontId="13" fillId="0" borderId="5" xfId="2" applyNumberFormat="1" applyFont="1" applyBorder="1" applyAlignment="1">
      <alignment vertical="center"/>
    </xf>
    <xf numFmtId="165" fontId="9" fillId="0" borderId="49" xfId="57" applyNumberFormat="1" applyFont="1" applyBorder="1" applyAlignment="1">
      <alignment vertical="center" wrapText="1"/>
    </xf>
    <xf numFmtId="165" fontId="13" fillId="0" borderId="51" xfId="57" applyNumberFormat="1" applyFont="1" applyBorder="1" applyAlignment="1">
      <alignment vertical="center" wrapText="1"/>
    </xf>
    <xf numFmtId="165" fontId="13" fillId="0" borderId="43" xfId="57" applyNumberFormat="1" applyFont="1" applyBorder="1" applyAlignment="1">
      <alignment vertical="center"/>
    </xf>
    <xf numFmtId="165" fontId="13" fillId="0" borderId="42" xfId="57" applyNumberFormat="1" applyFont="1" applyBorder="1" applyAlignment="1">
      <alignment vertical="center"/>
    </xf>
    <xf numFmtId="165" fontId="9" fillId="0" borderId="59" xfId="57" applyNumberFormat="1" applyFont="1" applyBorder="1" applyAlignment="1">
      <alignment vertical="center" wrapText="1"/>
    </xf>
    <xf numFmtId="165" fontId="9" fillId="0" borderId="38" xfId="57" applyNumberFormat="1" applyFont="1" applyBorder="1" applyAlignment="1">
      <alignment vertical="center" wrapText="1"/>
    </xf>
    <xf numFmtId="165" fontId="9" fillId="0" borderId="5" xfId="57" applyNumberFormat="1" applyFont="1" applyBorder="1" applyAlignment="1">
      <alignment vertical="center" wrapText="1"/>
    </xf>
    <xf numFmtId="165" fontId="9" fillId="0" borderId="51" xfId="57" applyNumberFormat="1" applyFont="1" applyBorder="1" applyAlignment="1">
      <alignment vertical="center" wrapText="1"/>
    </xf>
    <xf numFmtId="165" fontId="13" fillId="0" borderId="43" xfId="2" applyNumberFormat="1" applyFont="1" applyBorder="1" applyAlignment="1">
      <alignment horizontal="center" vertical="center"/>
    </xf>
    <xf numFmtId="43" fontId="13" fillId="0" borderId="43" xfId="2" applyNumberFormat="1" applyFont="1" applyBorder="1" applyAlignment="1">
      <alignment horizontal="center" vertical="center"/>
    </xf>
    <xf numFmtId="43" fontId="13" fillId="2" borderId="0" xfId="2" applyNumberFormat="1" applyFont="1" applyFill="1"/>
    <xf numFmtId="165" fontId="13" fillId="2" borderId="0" xfId="2" applyNumberFormat="1" applyFont="1" applyFill="1"/>
    <xf numFmtId="165" fontId="13" fillId="2" borderId="0" xfId="57" applyNumberFormat="1" applyFont="1" applyFill="1"/>
    <xf numFmtId="165" fontId="13" fillId="31" borderId="74" xfId="57" applyNumberFormat="1" applyFont="1" applyFill="1" applyBorder="1" applyAlignment="1">
      <alignment horizontal="center"/>
    </xf>
    <xf numFmtId="165" fontId="13" fillId="31" borderId="71" xfId="57" applyNumberFormat="1" applyFont="1" applyFill="1" applyBorder="1" applyAlignment="1">
      <alignment horizontal="center"/>
    </xf>
    <xf numFmtId="165" fontId="13" fillId="31" borderId="39" xfId="57" applyNumberFormat="1" applyFont="1" applyFill="1" applyBorder="1" applyAlignment="1">
      <alignment horizontal="center"/>
    </xf>
    <xf numFmtId="165" fontId="48" fillId="31" borderId="33" xfId="57" applyNumberFormat="1" applyFont="1" applyFill="1" applyBorder="1" applyAlignment="1">
      <alignment horizontal="center"/>
    </xf>
    <xf numFmtId="165" fontId="13" fillId="0" borderId="52" xfId="57" applyNumberFormat="1" applyFont="1" applyBorder="1" applyAlignment="1">
      <alignment vertical="center"/>
    </xf>
    <xf numFmtId="165" fontId="13" fillId="0" borderId="41" xfId="2" applyNumberFormat="1" applyFont="1" applyBorder="1" applyAlignment="1">
      <alignment vertical="center"/>
    </xf>
    <xf numFmtId="165" fontId="13" fillId="0" borderId="0" xfId="57" applyNumberFormat="1" applyFont="1"/>
    <xf numFmtId="172" fontId="9" fillId="0" borderId="0" xfId="2" applyNumberFormat="1"/>
    <xf numFmtId="172" fontId="96" fillId="0" borderId="0" xfId="2" applyNumberFormat="1" applyFont="1" applyAlignment="1">
      <alignment horizontal="right"/>
    </xf>
    <xf numFmtId="172" fontId="39" fillId="0" borderId="0" xfId="2" applyNumberFormat="1" applyFont="1" applyBorder="1" applyAlignment="1">
      <alignment horizontal="right"/>
    </xf>
    <xf numFmtId="172" fontId="45" fillId="2" borderId="18" xfId="2" applyNumberFormat="1" applyFont="1" applyFill="1" applyBorder="1" applyAlignment="1"/>
    <xf numFmtId="172" fontId="100" fillId="2" borderId="0" xfId="2" applyNumberFormat="1" applyFont="1" applyFill="1" applyBorder="1" applyAlignment="1">
      <alignment horizontal="right"/>
    </xf>
    <xf numFmtId="172" fontId="38" fillId="2" borderId="5" xfId="58" applyNumberFormat="1" applyFont="1" applyFill="1" applyBorder="1" applyAlignment="1">
      <alignment horizontal="center" vertical="center"/>
    </xf>
    <xf numFmtId="172" fontId="38" fillId="2" borderId="6" xfId="58" applyNumberFormat="1" applyFont="1" applyFill="1" applyBorder="1" applyAlignment="1">
      <alignment horizontal="center" vertical="center"/>
    </xf>
    <xf numFmtId="172" fontId="15" fillId="48" borderId="8" xfId="58" applyNumberFormat="1" applyFont="1" applyFill="1" applyBorder="1" applyAlignment="1">
      <alignment horizontal="center" vertical="center"/>
    </xf>
    <xf numFmtId="172" fontId="15" fillId="48" borderId="33" xfId="58" applyNumberFormat="1" applyFont="1" applyFill="1" applyBorder="1" applyAlignment="1">
      <alignment horizontal="center" vertical="center"/>
    </xf>
    <xf numFmtId="172" fontId="38" fillId="2" borderId="5" xfId="2" applyNumberFormat="1" applyFont="1" applyFill="1" applyBorder="1" applyAlignment="1">
      <alignment horizontal="center" vertical="center"/>
    </xf>
    <xf numFmtId="172" fontId="38" fillId="2" borderId="6" xfId="2" applyNumberFormat="1" applyFont="1" applyFill="1" applyBorder="1" applyAlignment="1">
      <alignment horizontal="center" vertical="center"/>
    </xf>
    <xf numFmtId="41" fontId="15" fillId="0" borderId="0" xfId="58" applyNumberFormat="1" applyFont="1" applyFill="1" applyBorder="1" applyAlignment="1">
      <alignment horizontal="center" vertical="center"/>
    </xf>
    <xf numFmtId="41" fontId="15" fillId="0" borderId="33" xfId="58" applyNumberFormat="1" applyFont="1" applyFill="1" applyBorder="1" applyAlignment="1">
      <alignment horizontal="center" vertical="center"/>
    </xf>
    <xf numFmtId="41" fontId="15" fillId="0" borderId="8" xfId="58" applyNumberFormat="1" applyFont="1" applyFill="1" applyBorder="1" applyAlignment="1">
      <alignment horizontal="center" vertical="center"/>
    </xf>
    <xf numFmtId="172" fontId="41" fillId="2" borderId="0" xfId="2" applyNumberFormat="1" applyFont="1" applyFill="1" applyBorder="1" applyAlignment="1">
      <alignment horizontal="right"/>
    </xf>
    <xf numFmtId="41" fontId="38" fillId="2" borderId="1" xfId="2" applyNumberFormat="1" applyFont="1" applyFill="1" applyBorder="1" applyAlignment="1">
      <alignment vertical="center"/>
    </xf>
    <xf numFmtId="41" fontId="38" fillId="2" borderId="59" xfId="2" applyNumberFormat="1" applyFont="1" applyFill="1" applyBorder="1" applyAlignment="1">
      <alignment vertical="center"/>
    </xf>
    <xf numFmtId="41" fontId="38" fillId="2" borderId="49" xfId="2" applyNumberFormat="1" applyFont="1" applyFill="1" applyBorder="1" applyAlignment="1">
      <alignment vertical="center"/>
    </xf>
    <xf numFmtId="172" fontId="9" fillId="0" borderId="0" xfId="2" applyNumberFormat="1" applyBorder="1"/>
    <xf numFmtId="165" fontId="80" fillId="0" borderId="0" xfId="58" applyNumberFormat="1" applyFont="1"/>
    <xf numFmtId="165" fontId="11" fillId="0" borderId="0" xfId="58" applyNumberFormat="1" applyFont="1"/>
    <xf numFmtId="164" fontId="9" fillId="0" borderId="0" xfId="57" applyNumberFormat="1" applyFont="1"/>
    <xf numFmtId="164" fontId="9" fillId="0" borderId="0" xfId="64" applyNumberFormat="1" applyFont="1"/>
    <xf numFmtId="164" fontId="45" fillId="0" borderId="0" xfId="57" applyNumberFormat="1" applyFont="1"/>
    <xf numFmtId="164" fontId="45" fillId="0" borderId="0" xfId="64" applyNumberFormat="1" applyFont="1"/>
    <xf numFmtId="164" fontId="40" fillId="43" borderId="0" xfId="57" applyNumberFormat="1" applyFont="1" applyFill="1"/>
    <xf numFmtId="164" fontId="40" fillId="43" borderId="0" xfId="64" applyNumberFormat="1" applyFont="1" applyFill="1"/>
    <xf numFmtId="164" fontId="40" fillId="34" borderId="0" xfId="57" applyNumberFormat="1" applyFont="1" applyFill="1" applyAlignment="1">
      <alignment vertical="center"/>
    </xf>
    <xf numFmtId="164" fontId="40" fillId="34" borderId="0" xfId="64" applyNumberFormat="1" applyFont="1" applyFill="1" applyAlignment="1">
      <alignment vertical="center"/>
    </xf>
    <xf numFmtId="164" fontId="12" fillId="34" borderId="0" xfId="57" applyNumberFormat="1" applyFont="1" applyFill="1" applyAlignment="1">
      <alignment vertical="center"/>
    </xf>
    <xf numFmtId="164" fontId="12" fillId="34" borderId="0" xfId="64" applyNumberFormat="1" applyFont="1" applyFill="1" applyAlignment="1">
      <alignment vertical="center"/>
    </xf>
    <xf numFmtId="165" fontId="38" fillId="34" borderId="8" xfId="58" applyNumberFormat="1" applyFont="1" applyFill="1" applyBorder="1" applyAlignment="1">
      <alignment horizontal="center" vertical="center" wrapText="1"/>
    </xf>
    <xf numFmtId="165" fontId="38" fillId="34" borderId="33" xfId="58" applyNumberFormat="1" applyFont="1" applyFill="1" applyBorder="1" applyAlignment="1">
      <alignment horizontal="center" vertical="center" wrapText="1"/>
    </xf>
    <xf numFmtId="164" fontId="38" fillId="2" borderId="56" xfId="64" applyNumberFormat="1" applyFont="1" applyFill="1" applyBorder="1" applyAlignment="1">
      <alignment horizontal="center" vertical="center"/>
    </xf>
    <xf numFmtId="164" fontId="38" fillId="2" borderId="46" xfId="64" applyNumberFormat="1" applyFont="1" applyFill="1" applyBorder="1" applyAlignment="1">
      <alignment horizontal="center" vertical="center"/>
    </xf>
    <xf numFmtId="164" fontId="38" fillId="2" borderId="36" xfId="64" applyNumberFormat="1" applyFont="1" applyFill="1" applyBorder="1" applyAlignment="1">
      <alignment horizontal="center" vertical="center"/>
    </xf>
    <xf numFmtId="164" fontId="38" fillId="2" borderId="36" xfId="64" applyNumberFormat="1" applyFont="1" applyFill="1" applyBorder="1" applyAlignment="1">
      <alignment horizontal="right" vertical="center" wrapText="1"/>
    </xf>
    <xf numFmtId="164" fontId="38" fillId="2" borderId="5" xfId="64" applyNumberFormat="1" applyFont="1" applyFill="1" applyBorder="1" applyAlignment="1">
      <alignment horizontal="center" vertical="center"/>
    </xf>
    <xf numFmtId="164" fontId="38" fillId="2" borderId="6" xfId="64" applyNumberFormat="1" applyFont="1" applyFill="1" applyBorder="1" applyAlignment="1">
      <alignment horizontal="right" vertical="center"/>
    </xf>
    <xf numFmtId="165" fontId="38" fillId="2" borderId="36" xfId="64" applyNumberFormat="1" applyFont="1" applyFill="1" applyBorder="1" applyAlignment="1">
      <alignment horizontal="center" vertical="center" wrapText="1"/>
    </xf>
    <xf numFmtId="165" fontId="38" fillId="2" borderId="37" xfId="64" applyNumberFormat="1" applyFont="1" applyFill="1" applyBorder="1" applyAlignment="1">
      <alignment horizontal="right" vertical="center" wrapText="1"/>
    </xf>
    <xf numFmtId="165" fontId="38" fillId="2" borderId="36" xfId="64" applyNumberFormat="1" applyFont="1" applyFill="1" applyBorder="1" applyAlignment="1">
      <alignment horizontal="right" vertical="center" wrapText="1"/>
    </xf>
    <xf numFmtId="164" fontId="9" fillId="0" borderId="0" xfId="57" applyNumberFormat="1" applyFont="1" applyAlignment="1">
      <alignment vertical="center"/>
    </xf>
    <xf numFmtId="164" fontId="9" fillId="0" borderId="0" xfId="2" applyNumberFormat="1" applyAlignment="1">
      <alignment vertical="center"/>
    </xf>
    <xf numFmtId="164" fontId="9" fillId="0" borderId="0" xfId="64" applyNumberFormat="1" applyFont="1" applyAlignment="1">
      <alignment vertical="center"/>
    </xf>
    <xf numFmtId="164" fontId="38" fillId="2" borderId="47" xfId="64" applyNumberFormat="1" applyFont="1" applyFill="1" applyBorder="1" applyAlignment="1">
      <alignment horizontal="center" vertical="center"/>
    </xf>
    <xf numFmtId="164" fontId="38" fillId="2" borderId="4" xfId="64" applyNumberFormat="1" applyFont="1" applyFill="1" applyBorder="1" applyAlignment="1">
      <alignment horizontal="center" vertical="center"/>
    </xf>
    <xf numFmtId="164" fontId="38" fillId="2" borderId="5" xfId="64" applyNumberFormat="1" applyFont="1" applyFill="1" applyBorder="1" applyAlignment="1">
      <alignment horizontal="right" vertical="center"/>
    </xf>
    <xf numFmtId="165" fontId="38" fillId="2" borderId="5" xfId="64" applyNumberFormat="1" applyFont="1" applyFill="1" applyBorder="1" applyAlignment="1">
      <alignment horizontal="right" vertical="center"/>
    </xf>
    <xf numFmtId="165" fontId="38" fillId="2" borderId="6" xfId="64" applyNumberFormat="1" applyFont="1" applyFill="1" applyBorder="1" applyAlignment="1">
      <alignment horizontal="right" vertical="center"/>
    </xf>
    <xf numFmtId="164" fontId="38" fillId="2" borderId="48" xfId="64" applyNumberFormat="1" applyFont="1" applyFill="1" applyBorder="1" applyAlignment="1">
      <alignment horizontal="center" vertical="center"/>
    </xf>
    <xf numFmtId="164" fontId="38" fillId="2" borderId="7" xfId="64" applyNumberFormat="1" applyFont="1" applyFill="1" applyBorder="1" applyAlignment="1">
      <alignment horizontal="center" vertical="center"/>
    </xf>
    <xf numFmtId="164" fontId="15" fillId="36" borderId="3" xfId="64" applyNumberFormat="1" applyFont="1" applyFill="1" applyBorder="1" applyAlignment="1">
      <alignment horizontal="center" vertical="center" wrapText="1"/>
    </xf>
    <xf numFmtId="164" fontId="38" fillId="36" borderId="3" xfId="64" applyNumberFormat="1" applyFont="1" applyFill="1" applyBorder="1" applyAlignment="1">
      <alignment horizontal="right" vertical="center"/>
    </xf>
    <xf numFmtId="165" fontId="38" fillId="36" borderId="3" xfId="64" applyNumberFormat="1" applyFont="1" applyFill="1" applyBorder="1" applyAlignment="1">
      <alignment horizontal="right" vertical="center"/>
    </xf>
    <xf numFmtId="165" fontId="15" fillId="36" borderId="3" xfId="64" applyNumberFormat="1" applyFont="1" applyFill="1" applyBorder="1" applyAlignment="1">
      <alignment horizontal="center" vertical="center" wrapText="1"/>
    </xf>
    <xf numFmtId="164" fontId="11" fillId="2" borderId="4" xfId="64" applyNumberFormat="1" applyFont="1" applyFill="1" applyBorder="1" applyAlignment="1">
      <alignment horizontal="center" vertical="center"/>
    </xf>
    <xf numFmtId="164" fontId="80" fillId="2" borderId="5" xfId="64" applyNumberFormat="1" applyFont="1" applyFill="1" applyBorder="1" applyAlignment="1">
      <alignment horizontal="center" vertical="center"/>
    </xf>
    <xf numFmtId="164" fontId="9" fillId="0" borderId="47" xfId="64" applyNumberFormat="1" applyFont="1" applyBorder="1" applyAlignment="1">
      <alignment horizontal="center" vertical="center"/>
    </xf>
    <xf numFmtId="164" fontId="38" fillId="0" borderId="4" xfId="64" applyNumberFormat="1" applyFont="1" applyBorder="1" applyAlignment="1">
      <alignment horizontal="center" vertical="center"/>
    </xf>
    <xf numFmtId="164" fontId="38" fillId="0" borderId="7" xfId="64" applyNumberFormat="1" applyFont="1" applyBorder="1" applyAlignment="1">
      <alignment horizontal="center" vertical="center"/>
    </xf>
    <xf numFmtId="164" fontId="38" fillId="0" borderId="46" xfId="64" applyNumberFormat="1" applyFont="1" applyBorder="1" applyAlignment="1">
      <alignment horizontal="center" vertical="center"/>
    </xf>
    <xf numFmtId="164" fontId="9" fillId="0" borderId="48" xfId="64" applyNumberFormat="1" applyFont="1" applyBorder="1" applyAlignment="1">
      <alignment horizontal="center" vertical="center"/>
    </xf>
    <xf numFmtId="164" fontId="38" fillId="2" borderId="8" xfId="64" applyNumberFormat="1" applyFont="1" applyFill="1" applyBorder="1" applyAlignment="1">
      <alignment horizontal="center" vertical="center"/>
    </xf>
    <xf numFmtId="164" fontId="15" fillId="36" borderId="47" xfId="64" applyNumberFormat="1" applyFont="1" applyFill="1" applyBorder="1" applyAlignment="1">
      <alignment horizontal="center" vertical="center" wrapText="1"/>
    </xf>
    <xf numFmtId="164" fontId="15" fillId="44" borderId="3" xfId="64" applyNumberFormat="1" applyFont="1" applyFill="1" applyBorder="1" applyAlignment="1">
      <alignment horizontal="left" vertical="center" wrapText="1"/>
    </xf>
    <xf numFmtId="164" fontId="15" fillId="44" borderId="3" xfId="64" applyNumberFormat="1" applyFont="1" applyFill="1" applyBorder="1" applyAlignment="1">
      <alignment horizontal="center" vertical="center" wrapText="1"/>
    </xf>
    <xf numFmtId="164" fontId="38" fillId="44" borderId="3" xfId="64" applyNumberFormat="1" applyFont="1" applyFill="1" applyBorder="1" applyAlignment="1">
      <alignment horizontal="right" vertical="center"/>
    </xf>
    <xf numFmtId="165" fontId="38" fillId="44" borderId="3" xfId="64" applyNumberFormat="1" applyFont="1" applyFill="1" applyBorder="1" applyAlignment="1">
      <alignment horizontal="right" vertical="center"/>
    </xf>
    <xf numFmtId="165" fontId="15" fillId="44" borderId="3" xfId="64" applyNumberFormat="1" applyFont="1" applyFill="1" applyBorder="1" applyAlignment="1">
      <alignment horizontal="center" vertical="center" wrapText="1"/>
    </xf>
    <xf numFmtId="165" fontId="80" fillId="0" borderId="0" xfId="58" applyNumberFormat="1" applyFont="1" applyAlignment="1">
      <alignment vertical="center"/>
    </xf>
    <xf numFmtId="165" fontId="11" fillId="0" borderId="0" xfId="58" applyNumberFormat="1" applyFont="1" applyAlignment="1">
      <alignment vertical="center"/>
    </xf>
    <xf numFmtId="0" fontId="93" fillId="2" borderId="0" xfId="2" applyFont="1" applyFill="1" applyBorder="1" applyAlignment="1"/>
    <xf numFmtId="165" fontId="38" fillId="2" borderId="18" xfId="2" applyNumberFormat="1" applyFont="1" applyFill="1" applyBorder="1" applyAlignment="1"/>
    <xf numFmtId="0" fontId="38" fillId="2" borderId="56" xfId="2" applyFont="1" applyFill="1" applyBorder="1" applyAlignment="1">
      <alignment horizontal="center" vertical="center" wrapText="1"/>
    </xf>
    <xf numFmtId="165" fontId="38" fillId="2" borderId="46" xfId="57" applyNumberFormat="1" applyFont="1" applyFill="1" applyBorder="1" applyAlignment="1">
      <alignment horizontal="center" vertical="center"/>
    </xf>
    <xf numFmtId="0" fontId="38" fillId="2" borderId="47" xfId="2" applyFont="1" applyFill="1" applyBorder="1" applyAlignment="1">
      <alignment horizontal="center" vertical="center" wrapText="1"/>
    </xf>
    <xf numFmtId="166" fontId="15" fillId="45" borderId="19" xfId="2" applyNumberFormat="1" applyFont="1" applyFill="1" applyBorder="1" applyAlignment="1">
      <alignment horizontal="center" vertical="center"/>
    </xf>
    <xf numFmtId="165" fontId="15" fillId="45" borderId="3" xfId="2" applyNumberFormat="1" applyFont="1" applyFill="1" applyBorder="1" applyAlignment="1">
      <alignment horizontal="center" vertical="center"/>
    </xf>
    <xf numFmtId="164" fontId="13" fillId="45" borderId="0" xfId="64" applyNumberFormat="1" applyFont="1" applyFill="1" applyAlignment="1">
      <alignment vertical="center"/>
    </xf>
    <xf numFmtId="164" fontId="9" fillId="0" borderId="0" xfId="64" applyNumberFormat="1" applyFont="1" applyAlignment="1">
      <alignment horizontal="center" vertical="center"/>
    </xf>
    <xf numFmtId="164" fontId="9" fillId="0" borderId="0" xfId="64" applyNumberFormat="1" applyFont="1" applyAlignment="1">
      <alignment horizontal="center" vertical="center" wrapText="1"/>
    </xf>
    <xf numFmtId="3" fontId="38" fillId="2" borderId="46" xfId="57" applyNumberFormat="1" applyFont="1" applyFill="1" applyBorder="1" applyAlignment="1">
      <alignment horizontal="center" vertical="center"/>
    </xf>
    <xf numFmtId="3" fontId="38" fillId="2" borderId="36" xfId="57" applyNumberFormat="1" applyFont="1" applyFill="1" applyBorder="1" applyAlignment="1">
      <alignment horizontal="center" vertical="center"/>
    </xf>
    <xf numFmtId="165" fontId="38" fillId="2" borderId="37" xfId="2" applyNumberFormat="1" applyFont="1" applyFill="1" applyBorder="1" applyAlignment="1">
      <alignment horizontal="right" vertical="center" wrapText="1"/>
    </xf>
    <xf numFmtId="165" fontId="38" fillId="2" borderId="6" xfId="2" applyNumberFormat="1" applyFont="1" applyFill="1" applyBorder="1" applyAlignment="1">
      <alignment horizontal="right" vertical="center"/>
    </xf>
    <xf numFmtId="165" fontId="80" fillId="2" borderId="5" xfId="58" applyNumberFormat="1" applyFont="1" applyFill="1" applyBorder="1" applyAlignment="1">
      <alignment horizontal="center" vertical="center"/>
    </xf>
    <xf numFmtId="165" fontId="80" fillId="2" borderId="6" xfId="58" applyNumberFormat="1" applyFont="1" applyFill="1" applyBorder="1" applyAlignment="1">
      <alignment horizontal="center" vertical="center"/>
    </xf>
    <xf numFmtId="165" fontId="11" fillId="2" borderId="4" xfId="58" applyNumberFormat="1" applyFont="1" applyFill="1" applyBorder="1" applyAlignment="1">
      <alignment horizontal="center" vertical="center"/>
    </xf>
    <xf numFmtId="165" fontId="80" fillId="2" borderId="5" xfId="64" applyNumberFormat="1" applyFont="1" applyFill="1" applyBorder="1" applyAlignment="1">
      <alignment horizontal="center" vertical="center"/>
    </xf>
    <xf numFmtId="165" fontId="80" fillId="2" borderId="6" xfId="64" applyNumberFormat="1" applyFont="1" applyFill="1" applyBorder="1" applyAlignment="1">
      <alignment horizontal="center" vertical="center"/>
    </xf>
    <xf numFmtId="165" fontId="15" fillId="45" borderId="19" xfId="2" applyNumberFormat="1" applyFont="1" applyFill="1" applyBorder="1" applyAlignment="1">
      <alignment horizontal="center" vertical="center"/>
    </xf>
    <xf numFmtId="0" fontId="38" fillId="0" borderId="4" xfId="2" applyNumberFormat="1" applyFont="1" applyBorder="1" applyAlignment="1">
      <alignment horizontal="center" vertical="center"/>
    </xf>
    <xf numFmtId="165" fontId="38" fillId="0" borderId="0" xfId="2" applyNumberFormat="1" applyFont="1"/>
    <xf numFmtId="0" fontId="95" fillId="2" borderId="0" xfId="2" applyFont="1" applyFill="1" applyBorder="1" applyAlignment="1">
      <alignment horizontal="center" wrapText="1"/>
    </xf>
    <xf numFmtId="41" fontId="38" fillId="2" borderId="19" xfId="2" applyNumberFormat="1" applyFont="1" applyFill="1" applyBorder="1" applyAlignment="1">
      <alignment horizontal="center" vertical="center" wrapText="1"/>
    </xf>
    <xf numFmtId="41" fontId="38" fillId="2" borderId="21" xfId="2" applyNumberFormat="1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/>
    </xf>
    <xf numFmtId="41" fontId="9" fillId="0" borderId="36" xfId="2" applyNumberFormat="1" applyFont="1" applyFill="1" applyBorder="1" applyAlignment="1">
      <alignment vertical="center" wrapText="1"/>
    </xf>
    <xf numFmtId="41" fontId="9" fillId="0" borderId="36" xfId="2" applyNumberFormat="1" applyFont="1" applyFill="1" applyBorder="1" applyAlignment="1">
      <alignment horizontal="center" vertical="center"/>
    </xf>
    <xf numFmtId="41" fontId="13" fillId="0" borderId="36" xfId="2" applyNumberFormat="1" applyFont="1" applyFill="1" applyBorder="1" applyAlignment="1">
      <alignment horizontal="center" vertical="center"/>
    </xf>
    <xf numFmtId="41" fontId="13" fillId="0" borderId="37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/>
    </xf>
    <xf numFmtId="41" fontId="9" fillId="0" borderId="5" xfId="2" applyNumberFormat="1" applyFont="1" applyFill="1" applyBorder="1" applyAlignment="1">
      <alignment horizontal="center" vertical="center"/>
    </xf>
    <xf numFmtId="41" fontId="13" fillId="0" borderId="5" xfId="2" applyNumberFormat="1" applyFont="1" applyFill="1" applyBorder="1" applyAlignment="1">
      <alignment horizontal="center" vertical="center"/>
    </xf>
    <xf numFmtId="41" fontId="13" fillId="0" borderId="6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/>
    </xf>
    <xf numFmtId="41" fontId="9" fillId="0" borderId="8" xfId="2" applyNumberFormat="1" applyFont="1" applyFill="1" applyBorder="1" applyAlignment="1">
      <alignment horizontal="center" vertical="center"/>
    </xf>
    <xf numFmtId="41" fontId="13" fillId="0" borderId="8" xfId="2" applyNumberFormat="1" applyFont="1" applyFill="1" applyBorder="1" applyAlignment="1">
      <alignment horizontal="center" vertical="center"/>
    </xf>
    <xf numFmtId="41" fontId="13" fillId="0" borderId="33" xfId="2" applyNumberFormat="1" applyFont="1" applyFill="1" applyBorder="1" applyAlignment="1">
      <alignment horizontal="center" vertical="center"/>
    </xf>
    <xf numFmtId="41" fontId="9" fillId="2" borderId="75" xfId="2" applyNumberFormat="1" applyFont="1" applyFill="1" applyBorder="1" applyAlignment="1">
      <alignment horizontal="center" vertical="center"/>
    </xf>
    <xf numFmtId="41" fontId="9" fillId="2" borderId="76" xfId="2" applyNumberFormat="1" applyFont="1" applyFill="1" applyBorder="1" applyAlignment="1">
      <alignment horizontal="center" vertical="center"/>
    </xf>
    <xf numFmtId="41" fontId="13" fillId="2" borderId="71" xfId="2" applyNumberFormat="1" applyFont="1" applyFill="1" applyBorder="1" applyAlignment="1">
      <alignment horizontal="center" vertical="center"/>
    </xf>
    <xf numFmtId="41" fontId="13" fillId="2" borderId="56" xfId="2" applyNumberFormat="1" applyFont="1" applyFill="1" applyBorder="1" applyAlignment="1">
      <alignment horizontal="center" vertical="center"/>
    </xf>
    <xf numFmtId="41" fontId="9" fillId="33" borderId="3" xfId="2" applyNumberFormat="1" applyFont="1" applyFill="1" applyBorder="1" applyAlignment="1">
      <alignment horizontal="center" vertical="center"/>
    </xf>
    <xf numFmtId="41" fontId="13" fillId="33" borderId="3" xfId="2" applyNumberFormat="1" applyFont="1" applyFill="1" applyBorder="1" applyAlignment="1">
      <alignment horizontal="center" vertical="center"/>
    </xf>
    <xf numFmtId="41" fontId="9" fillId="0" borderId="3" xfId="2" applyNumberFormat="1" applyFont="1" applyFill="1" applyBorder="1" applyAlignment="1">
      <alignment vertical="center" wrapText="1"/>
    </xf>
    <xf numFmtId="41" fontId="9" fillId="6" borderId="3" xfId="2" applyNumberFormat="1" applyFont="1" applyFill="1" applyBorder="1" applyAlignment="1">
      <alignment vertical="center" wrapText="1"/>
    </xf>
    <xf numFmtId="41" fontId="9" fillId="0" borderId="5" xfId="2" applyNumberFormat="1" applyFont="1" applyFill="1" applyBorder="1" applyAlignment="1">
      <alignment vertical="center" wrapText="1"/>
    </xf>
    <xf numFmtId="41" fontId="9" fillId="0" borderId="8" xfId="2" applyNumberFormat="1" applyFont="1" applyFill="1" applyBorder="1" applyAlignment="1">
      <alignment vertical="center" wrapText="1"/>
    </xf>
    <xf numFmtId="41" fontId="13" fillId="2" borderId="6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/>
    </xf>
    <xf numFmtId="172" fontId="9" fillId="0" borderId="3" xfId="2" applyNumberFormat="1" applyFont="1" applyFill="1" applyBorder="1" applyAlignment="1">
      <alignment horizontal="center" vertical="center"/>
    </xf>
    <xf numFmtId="172" fontId="13" fillId="0" borderId="3" xfId="2" applyNumberFormat="1" applyFont="1" applyFill="1" applyBorder="1" applyAlignment="1">
      <alignment horizontal="center" vertical="center"/>
    </xf>
    <xf numFmtId="172" fontId="13" fillId="2" borderId="3" xfId="2" applyNumberFormat="1" applyFont="1" applyFill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172" fontId="48" fillId="2" borderId="3" xfId="2" applyNumberFormat="1" applyFont="1" applyFill="1" applyBorder="1" applyAlignment="1">
      <alignment horizontal="center" vertical="center"/>
    </xf>
    <xf numFmtId="165" fontId="47" fillId="0" borderId="47" xfId="1" applyNumberFormat="1" applyFont="1" applyFill="1" applyBorder="1" applyAlignment="1">
      <alignment vertical="center" wrapText="1"/>
    </xf>
    <xf numFmtId="0" fontId="47" fillId="0" borderId="0" xfId="2" applyFont="1" applyBorder="1"/>
    <xf numFmtId="0" fontId="47" fillId="0" borderId="0" xfId="2" applyFont="1"/>
    <xf numFmtId="0" fontId="47" fillId="0" borderId="0" xfId="2" applyFont="1" applyBorder="1" applyAlignment="1">
      <alignment horizontal="center" vertical="center"/>
    </xf>
    <xf numFmtId="0" fontId="47" fillId="0" borderId="0" xfId="2" applyFont="1" applyFill="1" applyBorder="1"/>
    <xf numFmtId="165" fontId="47" fillId="0" borderId="53" xfId="1" applyNumberFormat="1" applyFont="1" applyFill="1" applyBorder="1" applyAlignment="1">
      <alignment vertical="center" wrapText="1"/>
    </xf>
    <xf numFmtId="172" fontId="13" fillId="0" borderId="0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center"/>
    </xf>
    <xf numFmtId="0" fontId="45" fillId="2" borderId="0" xfId="2" applyFont="1" applyFill="1" applyBorder="1" applyAlignment="1">
      <alignment horizontal="center"/>
    </xf>
    <xf numFmtId="0" fontId="9" fillId="31" borderId="0" xfId="2" applyFill="1" applyBorder="1" applyAlignment="1">
      <alignment horizontal="center" vertical="center"/>
    </xf>
    <xf numFmtId="0" fontId="13" fillId="31" borderId="0" xfId="2" applyFont="1" applyFill="1" applyBorder="1" applyAlignment="1">
      <alignment horizontal="center" vertical="center"/>
    </xf>
    <xf numFmtId="41" fontId="9" fillId="33" borderId="0" xfId="2" applyNumberFormat="1" applyFill="1" applyBorder="1"/>
    <xf numFmtId="41" fontId="9" fillId="33" borderId="0" xfId="2" applyNumberFormat="1" applyFont="1" applyFill="1" applyBorder="1" applyAlignment="1">
      <alignment horizontal="center" vertical="center"/>
    </xf>
    <xf numFmtId="0" fontId="9" fillId="31" borderId="0" xfId="2" applyFont="1" applyFill="1" applyBorder="1" applyAlignment="1">
      <alignment horizontal="center" vertical="center"/>
    </xf>
    <xf numFmtId="41" fontId="13" fillId="0" borderId="0" xfId="2" applyNumberFormat="1" applyFont="1" applyFill="1" applyBorder="1" applyAlignment="1">
      <alignment horizontal="center" vertical="center"/>
    </xf>
    <xf numFmtId="41" fontId="13" fillId="2" borderId="0" xfId="2" applyNumberFormat="1" applyFont="1" applyFill="1" applyBorder="1" applyAlignment="1">
      <alignment horizontal="center" vertical="center"/>
    </xf>
    <xf numFmtId="41" fontId="13" fillId="48" borderId="0" xfId="2" applyNumberFormat="1" applyFont="1" applyFill="1" applyBorder="1" applyAlignment="1">
      <alignment vertical="center"/>
    </xf>
    <xf numFmtId="41" fontId="15" fillId="2" borderId="0" xfId="2" applyNumberFormat="1" applyFont="1" applyFill="1" applyBorder="1" applyAlignment="1">
      <alignment horizontal="center" vertical="center"/>
    </xf>
    <xf numFmtId="41" fontId="38" fillId="33" borderId="0" xfId="2" applyNumberFormat="1" applyFont="1" applyFill="1" applyBorder="1" applyAlignment="1">
      <alignment horizontal="center" vertical="center"/>
    </xf>
    <xf numFmtId="41" fontId="15" fillId="33" borderId="0" xfId="2" applyNumberFormat="1" applyFont="1" applyFill="1" applyBorder="1" applyAlignment="1">
      <alignment horizontal="left" vertical="center" wrapText="1"/>
    </xf>
    <xf numFmtId="41" fontId="13" fillId="44" borderId="0" xfId="2" applyNumberFormat="1" applyFont="1" applyFill="1" applyBorder="1" applyAlignment="1">
      <alignment vertical="center"/>
    </xf>
    <xf numFmtId="165" fontId="9" fillId="2" borderId="0" xfId="2" applyNumberFormat="1" applyFill="1"/>
    <xf numFmtId="0" fontId="9" fillId="2" borderId="3" xfId="2" applyFill="1" applyBorder="1"/>
    <xf numFmtId="0" fontId="9" fillId="0" borderId="3" xfId="2" applyBorder="1"/>
    <xf numFmtId="43" fontId="9" fillId="2" borderId="0" xfId="2" applyNumberFormat="1" applyFill="1"/>
    <xf numFmtId="43" fontId="9" fillId="0" borderId="0" xfId="2" applyNumberFormat="1"/>
    <xf numFmtId="165" fontId="9" fillId="0" borderId="0" xfId="2" applyNumberFormat="1"/>
    <xf numFmtId="0" fontId="13" fillId="48" borderId="3" xfId="2" applyFont="1" applyFill="1" applyBorder="1" applyAlignment="1">
      <alignment horizontal="center" vertical="center" wrapText="1"/>
    </xf>
    <xf numFmtId="43" fontId="9" fillId="0" borderId="0" xfId="1" applyFont="1"/>
    <xf numFmtId="41" fontId="38" fillId="50" borderId="3" xfId="2" applyNumberFormat="1" applyFont="1" applyFill="1" applyBorder="1" applyAlignment="1">
      <alignment vertical="center" wrapText="1"/>
    </xf>
    <xf numFmtId="41" fontId="107" fillId="38" borderId="3" xfId="0" applyNumberFormat="1" applyFont="1" applyFill="1" applyBorder="1" applyAlignment="1" applyProtection="1">
      <protection hidden="1"/>
    </xf>
    <xf numFmtId="0" fontId="107" fillId="38" borderId="3" xfId="0" applyFont="1" applyFill="1" applyBorder="1" applyAlignment="1" applyProtection="1">
      <protection hidden="1"/>
    </xf>
    <xf numFmtId="173" fontId="139" fillId="0" borderId="100" xfId="1" applyNumberFormat="1" applyFont="1" applyBorder="1" applyAlignment="1">
      <alignment horizontal="center"/>
    </xf>
    <xf numFmtId="41" fontId="38" fillId="50" borderId="3" xfId="2" applyNumberFormat="1" applyFont="1" applyFill="1" applyBorder="1" applyAlignment="1">
      <alignment horizontal="left" vertical="top" wrapText="1"/>
    </xf>
    <xf numFmtId="49" fontId="70" fillId="0" borderId="0" xfId="0" applyNumberFormat="1" applyFont="1" applyFill="1" applyBorder="1" applyAlignment="1">
      <alignment vertical="center" wrapText="1"/>
    </xf>
    <xf numFmtId="165" fontId="69" fillId="3" borderId="99" xfId="1" applyNumberFormat="1" applyFont="1" applyFill="1" applyBorder="1" applyAlignment="1">
      <alignment horizontal="right" wrapText="1"/>
    </xf>
    <xf numFmtId="43" fontId="0" fillId="0" borderId="0" xfId="0" applyNumberFormat="1"/>
    <xf numFmtId="165" fontId="13" fillId="44" borderId="3" xfId="1" applyNumberFormat="1" applyFont="1" applyFill="1" applyBorder="1" applyAlignment="1">
      <alignment vertical="center"/>
    </xf>
    <xf numFmtId="165" fontId="38" fillId="0" borderId="59" xfId="1" applyNumberFormat="1" applyFont="1" applyFill="1" applyBorder="1" applyAlignment="1">
      <alignment horizontal="center" vertical="center"/>
    </xf>
    <xf numFmtId="174" fontId="38" fillId="0" borderId="36" xfId="2" applyNumberFormat="1" applyFont="1" applyFill="1" applyBorder="1" applyAlignment="1">
      <alignment horizontal="center" vertical="center"/>
    </xf>
    <xf numFmtId="174" fontId="15" fillId="0" borderId="36" xfId="2" applyNumberFormat="1" applyFont="1" applyFill="1" applyBorder="1" applyAlignment="1">
      <alignment horizontal="center" vertical="center"/>
    </xf>
    <xf numFmtId="172" fontId="38" fillId="0" borderId="36" xfId="2" applyNumberFormat="1" applyFont="1" applyFill="1" applyBorder="1" applyAlignment="1">
      <alignment horizontal="center" vertical="center"/>
    </xf>
    <xf numFmtId="172" fontId="15" fillId="0" borderId="36" xfId="2" applyNumberFormat="1" applyFont="1" applyFill="1" applyBorder="1" applyAlignment="1">
      <alignment horizontal="center" vertical="center"/>
    </xf>
    <xf numFmtId="172" fontId="38" fillId="0" borderId="5" xfId="2" applyNumberFormat="1" applyFont="1" applyFill="1" applyBorder="1" applyAlignment="1">
      <alignment horizontal="center" vertical="center"/>
    </xf>
    <xf numFmtId="172" fontId="15" fillId="0" borderId="5" xfId="2" applyNumberFormat="1" applyFont="1" applyFill="1" applyBorder="1" applyAlignment="1">
      <alignment horizontal="center" vertical="center"/>
    </xf>
    <xf numFmtId="172" fontId="38" fillId="0" borderId="8" xfId="2" applyNumberFormat="1" applyFont="1" applyFill="1" applyBorder="1" applyAlignment="1">
      <alignment horizontal="center" vertical="center"/>
    </xf>
    <xf numFmtId="172" fontId="15" fillId="0" borderId="8" xfId="2" applyNumberFormat="1" applyFont="1" applyFill="1" applyBorder="1" applyAlignment="1">
      <alignment horizontal="center" vertical="center"/>
    </xf>
    <xf numFmtId="172" fontId="38" fillId="33" borderId="3" xfId="2" applyNumberFormat="1" applyFont="1" applyFill="1" applyBorder="1" applyAlignment="1">
      <alignment horizontal="center" vertical="center"/>
    </xf>
    <xf numFmtId="172" fontId="15" fillId="33" borderId="3" xfId="2" applyNumberFormat="1" applyFont="1" applyFill="1" applyBorder="1" applyAlignment="1">
      <alignment horizontal="center" vertical="center"/>
    </xf>
    <xf numFmtId="172" fontId="38" fillId="2" borderId="40" xfId="2" applyNumberFormat="1" applyFont="1" applyFill="1" applyBorder="1" applyAlignment="1">
      <alignment horizontal="center" vertical="center"/>
    </xf>
    <xf numFmtId="172" fontId="38" fillId="2" borderId="41" xfId="2" applyNumberFormat="1" applyFont="1" applyFill="1" applyBorder="1" applyAlignment="1">
      <alignment horizontal="center" vertical="center"/>
    </xf>
    <xf numFmtId="172" fontId="15" fillId="2" borderId="42" xfId="2" applyNumberFormat="1" applyFont="1" applyFill="1" applyBorder="1" applyAlignment="1">
      <alignment horizontal="center" vertical="center"/>
    </xf>
    <xf numFmtId="172" fontId="9" fillId="0" borderId="36" xfId="2" applyNumberFormat="1" applyFont="1" applyFill="1" applyBorder="1" applyAlignment="1">
      <alignment horizontal="center" vertical="center"/>
    </xf>
    <xf numFmtId="172" fontId="13" fillId="0" borderId="36" xfId="2" applyNumberFormat="1" applyFont="1" applyFill="1" applyBorder="1" applyAlignment="1">
      <alignment horizontal="center" vertical="center"/>
    </xf>
    <xf numFmtId="172" fontId="9" fillId="2" borderId="40" xfId="2" applyNumberFormat="1" applyFont="1" applyFill="1" applyBorder="1" applyAlignment="1">
      <alignment horizontal="center" vertical="center"/>
    </xf>
    <xf numFmtId="172" fontId="9" fillId="2" borderId="41" xfId="2" applyNumberFormat="1" applyFont="1" applyFill="1" applyBorder="1" applyAlignment="1">
      <alignment horizontal="center" vertical="center"/>
    </xf>
    <xf numFmtId="172" fontId="13" fillId="2" borderId="42" xfId="2" applyNumberFormat="1" applyFont="1" applyFill="1" applyBorder="1" applyAlignment="1">
      <alignment horizontal="center" vertical="center"/>
    </xf>
    <xf numFmtId="174" fontId="15" fillId="2" borderId="40" xfId="2" applyNumberFormat="1" applyFont="1" applyFill="1" applyBorder="1" applyAlignment="1">
      <alignment horizontal="center" vertical="center"/>
    </xf>
    <xf numFmtId="172" fontId="15" fillId="2" borderId="75" xfId="2" applyNumberFormat="1" applyFont="1" applyFill="1" applyBorder="1" applyAlignment="1">
      <alignment horizontal="center" vertical="center"/>
    </xf>
    <xf numFmtId="172" fontId="43" fillId="2" borderId="75" xfId="2" applyNumberFormat="1" applyFont="1" applyFill="1" applyBorder="1" applyAlignment="1">
      <alignment horizontal="center" vertical="center"/>
    </xf>
    <xf numFmtId="172" fontId="9" fillId="0" borderId="5" xfId="2" applyNumberFormat="1" applyFont="1" applyFill="1" applyBorder="1" applyAlignment="1">
      <alignment horizontal="center" vertical="center"/>
    </xf>
    <xf numFmtId="165" fontId="13" fillId="48" borderId="3" xfId="1" applyNumberFormat="1" applyFont="1" applyFill="1" applyBorder="1" applyAlignment="1">
      <alignment vertical="center"/>
    </xf>
    <xf numFmtId="165" fontId="48" fillId="44" borderId="3" xfId="1" applyNumberFormat="1" applyFont="1" applyFill="1" applyBorder="1" applyAlignment="1">
      <alignment vertical="center"/>
    </xf>
    <xf numFmtId="165" fontId="80" fillId="45" borderId="3" xfId="1" applyNumberFormat="1" applyFont="1" applyFill="1" applyBorder="1" applyAlignment="1" applyProtection="1">
      <alignment vertical="center"/>
      <protection locked="0"/>
    </xf>
    <xf numFmtId="41" fontId="38" fillId="50" borderId="19" xfId="2" applyNumberFormat="1" applyFont="1" applyFill="1" applyBorder="1" applyAlignment="1">
      <alignment vertical="center" wrapText="1"/>
    </xf>
    <xf numFmtId="49" fontId="37" fillId="3" borderId="3" xfId="40" applyNumberFormat="1" applyFont="1" applyFill="1" applyBorder="1" applyAlignment="1">
      <alignment horizontal="left" vertical="center" wrapText="1"/>
    </xf>
    <xf numFmtId="43" fontId="9" fillId="0" borderId="0" xfId="2" applyNumberFormat="1" applyBorder="1"/>
    <xf numFmtId="165" fontId="7" fillId="3" borderId="0" xfId="40" applyNumberFormat="1" applyFill="1"/>
    <xf numFmtId="175" fontId="7" fillId="3" borderId="0" xfId="40" applyNumberFormat="1" applyFill="1"/>
    <xf numFmtId="41" fontId="9" fillId="0" borderId="0" xfId="2" applyNumberFormat="1" applyFill="1" applyBorder="1"/>
    <xf numFmtId="0" fontId="133" fillId="53" borderId="3" xfId="52" applyFont="1" applyFill="1" applyBorder="1" applyAlignment="1">
      <alignment wrapText="1"/>
    </xf>
    <xf numFmtId="165" fontId="70" fillId="3" borderId="0" xfId="1" applyNumberFormat="1" applyFont="1" applyFill="1" applyAlignment="1">
      <alignment horizontal="center" vertical="center"/>
    </xf>
    <xf numFmtId="165" fontId="12" fillId="3" borderId="0" xfId="1" applyNumberFormat="1" applyFont="1" applyFill="1" applyAlignment="1">
      <alignment horizontal="center" vertical="center"/>
    </xf>
    <xf numFmtId="165" fontId="80" fillId="3" borderId="0" xfId="1" applyNumberFormat="1" applyFont="1" applyFill="1"/>
    <xf numFmtId="165" fontId="80" fillId="3" borderId="0" xfId="1" applyNumberFormat="1" applyFont="1" applyFill="1" applyAlignment="1">
      <alignment vertical="center"/>
    </xf>
    <xf numFmtId="0" fontId="133" fillId="0" borderId="0" xfId="52" applyFont="1" applyBorder="1" applyAlignment="1">
      <alignment horizontal="center"/>
    </xf>
    <xf numFmtId="175" fontId="107" fillId="49" borderId="3" xfId="0" applyNumberFormat="1" applyFont="1" applyFill="1" applyBorder="1" applyProtection="1">
      <protection locked="0"/>
    </xf>
    <xf numFmtId="164" fontId="105" fillId="0" borderId="0" xfId="1" applyNumberFormat="1" applyFont="1" applyBorder="1"/>
    <xf numFmtId="37" fontId="132" fillId="0" borderId="100" xfId="52" applyNumberFormat="1" applyFont="1" applyBorder="1"/>
    <xf numFmtId="41" fontId="133" fillId="53" borderId="3" xfId="52" applyNumberFormat="1" applyFont="1" applyFill="1" applyBorder="1" applyAlignment="1"/>
    <xf numFmtId="1" fontId="133" fillId="53" borderId="3" xfId="52" applyNumberFormat="1" applyFont="1" applyFill="1" applyBorder="1" applyAlignment="1"/>
    <xf numFmtId="175" fontId="133" fillId="53" borderId="3" xfId="52" applyNumberFormat="1" applyFont="1" applyFill="1" applyBorder="1" applyAlignment="1"/>
    <xf numFmtId="0" fontId="132" fillId="53" borderId="61" xfId="52" applyFont="1" applyFill="1" applyBorder="1" applyAlignment="1">
      <alignment horizontal="center" vertical="center"/>
    </xf>
    <xf numFmtId="0" fontId="133" fillId="53" borderId="27" xfId="52" applyFont="1" applyFill="1" applyBorder="1" applyAlignment="1">
      <alignment horizontal="center"/>
    </xf>
    <xf numFmtId="0" fontId="133" fillId="53" borderId="28" xfId="52" applyFont="1" applyFill="1" applyBorder="1" applyAlignment="1">
      <alignment horizontal="center"/>
    </xf>
    <xf numFmtId="0" fontId="132" fillId="38" borderId="3" xfId="52" applyFont="1" applyFill="1" applyBorder="1" applyAlignment="1">
      <alignment horizontal="center" vertical="center"/>
    </xf>
    <xf numFmtId="0" fontId="133" fillId="38" borderId="3" xfId="52" applyFont="1" applyFill="1" applyBorder="1" applyAlignment="1">
      <alignment wrapText="1"/>
    </xf>
    <xf numFmtId="0" fontId="133" fillId="38" borderId="102" xfId="52" applyFont="1" applyFill="1" applyBorder="1" applyAlignment="1"/>
    <xf numFmtId="20" fontId="133" fillId="38" borderId="3" xfId="52" applyNumberFormat="1" applyFont="1" applyFill="1" applyBorder="1" applyAlignment="1">
      <alignment horizontal="center" wrapText="1"/>
    </xf>
    <xf numFmtId="0" fontId="133" fillId="38" borderId="3" xfId="52" applyFont="1" applyFill="1" applyBorder="1" applyAlignment="1">
      <alignment horizontal="center"/>
    </xf>
    <xf numFmtId="0" fontId="133" fillId="38" borderId="3" xfId="52" applyFont="1" applyFill="1" applyBorder="1" applyAlignment="1">
      <alignment horizontal="center" wrapText="1"/>
    </xf>
    <xf numFmtId="37" fontId="133" fillId="38" borderId="3" xfId="52" applyNumberFormat="1" applyFont="1" applyFill="1" applyBorder="1" applyAlignment="1">
      <alignment horizontal="center"/>
    </xf>
    <xf numFmtId="0" fontId="135" fillId="38" borderId="3" xfId="52" applyFont="1" applyFill="1" applyBorder="1" applyAlignment="1">
      <alignment horizontal="center" wrapText="1"/>
    </xf>
    <xf numFmtId="0" fontId="133" fillId="0" borderId="61" xfId="52" applyFont="1" applyFill="1" applyBorder="1" applyAlignment="1">
      <alignment horizontal="center" vertical="center" textRotation="90" wrapText="1"/>
    </xf>
    <xf numFmtId="0" fontId="132" fillId="0" borderId="61" xfId="52" applyFont="1" applyFill="1" applyBorder="1" applyAlignment="1">
      <alignment horizontal="center" vertical="center"/>
    </xf>
    <xf numFmtId="0" fontId="133" fillId="0" borderId="61" xfId="52" applyFont="1" applyFill="1" applyBorder="1" applyAlignment="1">
      <alignment wrapText="1"/>
    </xf>
    <xf numFmtId="0" fontId="133" fillId="0" borderId="3" xfId="52" applyFont="1" applyFill="1" applyBorder="1" applyAlignment="1">
      <alignment horizontal="center" vertical="center"/>
    </xf>
    <xf numFmtId="0" fontId="133" fillId="0" borderId="61" xfId="52" applyFont="1" applyFill="1" applyBorder="1" applyAlignment="1">
      <alignment horizontal="center" vertical="center"/>
    </xf>
    <xf numFmtId="0" fontId="133" fillId="0" borderId="61" xfId="52" applyFont="1" applyFill="1" applyBorder="1" applyAlignment="1"/>
    <xf numFmtId="0" fontId="133" fillId="0" borderId="61" xfId="52" applyFont="1" applyFill="1" applyBorder="1" applyAlignment="1">
      <alignment horizontal="center"/>
    </xf>
    <xf numFmtId="0" fontId="132" fillId="0" borderId="0" xfId="52" applyFont="1" applyFill="1" applyBorder="1" applyProtection="1">
      <protection locked="0"/>
    </xf>
    <xf numFmtId="0" fontId="133" fillId="37" borderId="3" xfId="52" applyFont="1" applyFill="1" applyBorder="1" applyAlignment="1">
      <alignment wrapText="1"/>
    </xf>
    <xf numFmtId="0" fontId="133" fillId="37" borderId="3" xfId="52" applyFont="1" applyFill="1" applyBorder="1" applyAlignment="1"/>
    <xf numFmtId="0" fontId="132" fillId="37" borderId="3" xfId="52" applyFont="1" applyFill="1" applyBorder="1" applyAlignment="1">
      <alignment horizontal="center" vertical="center"/>
    </xf>
    <xf numFmtId="0" fontId="133" fillId="37" borderId="3" xfId="52" applyFont="1" applyFill="1" applyBorder="1" applyAlignment="1">
      <alignment horizontal="center" vertical="center"/>
    </xf>
    <xf numFmtId="0" fontId="133" fillId="37" borderId="3" xfId="52" applyFont="1" applyFill="1" applyBorder="1" applyAlignment="1">
      <alignment horizontal="center" vertical="center" wrapText="1"/>
    </xf>
    <xf numFmtId="0" fontId="132" fillId="37" borderId="102" xfId="52" applyFont="1" applyFill="1" applyBorder="1" applyAlignment="1">
      <alignment horizontal="center" vertical="center"/>
    </xf>
    <xf numFmtId="0" fontId="133" fillId="37" borderId="102" xfId="52" applyFont="1" applyFill="1" applyBorder="1" applyAlignment="1">
      <alignment wrapText="1"/>
    </xf>
    <xf numFmtId="0" fontId="133" fillId="37" borderId="61" xfId="52" applyFont="1" applyFill="1" applyBorder="1" applyAlignment="1">
      <alignment horizontal="center" vertical="center"/>
    </xf>
    <xf numFmtId="0" fontId="133" fillId="37" borderId="61" xfId="52" applyFont="1" applyFill="1" applyBorder="1" applyAlignment="1"/>
    <xf numFmtId="0" fontId="133" fillId="37" borderId="27" xfId="52" applyFont="1" applyFill="1" applyBorder="1" applyAlignment="1">
      <alignment horizontal="center"/>
    </xf>
    <xf numFmtId="0" fontId="133" fillId="37" borderId="28" xfId="52" applyFont="1" applyFill="1" applyBorder="1" applyAlignment="1">
      <alignment horizontal="center"/>
    </xf>
    <xf numFmtId="0" fontId="133" fillId="37" borderId="102" xfId="52" applyFont="1" applyFill="1" applyBorder="1" applyAlignment="1">
      <alignment horizontal="center" vertical="center"/>
    </xf>
    <xf numFmtId="0" fontId="133" fillId="37" borderId="102" xfId="52" applyFont="1" applyFill="1" applyBorder="1" applyAlignment="1"/>
    <xf numFmtId="0" fontId="132" fillId="45" borderId="3" xfId="52" applyFont="1" applyFill="1" applyBorder="1" applyAlignment="1">
      <alignment horizontal="center" vertical="center"/>
    </xf>
    <xf numFmtId="0" fontId="133" fillId="45" borderId="102" xfId="52" applyFont="1" applyFill="1" applyBorder="1" applyAlignment="1">
      <alignment horizontal="left" vertical="center" wrapText="1"/>
    </xf>
    <xf numFmtId="0" fontId="133" fillId="45" borderId="102" xfId="52" applyFont="1" applyFill="1" applyBorder="1" applyAlignment="1">
      <alignment horizontal="left" vertical="center"/>
    </xf>
    <xf numFmtId="0" fontId="133" fillId="45" borderId="3" xfId="52" applyFont="1" applyFill="1" applyBorder="1" applyAlignment="1">
      <alignment vertical="center"/>
    </xf>
    <xf numFmtId="0" fontId="133" fillId="45" borderId="3" xfId="52" applyFont="1" applyFill="1" applyBorder="1" applyAlignment="1">
      <alignment vertical="center" wrapText="1"/>
    </xf>
    <xf numFmtId="175" fontId="133" fillId="45" borderId="3" xfId="52" applyNumberFormat="1" applyFont="1" applyFill="1" applyBorder="1" applyAlignment="1">
      <alignment vertical="center"/>
    </xf>
    <xf numFmtId="9" fontId="133" fillId="45" borderId="3" xfId="52" applyNumberFormat="1" applyFont="1" applyFill="1" applyBorder="1" applyAlignment="1">
      <alignment vertical="center"/>
    </xf>
    <xf numFmtId="165" fontId="8" fillId="3" borderId="0" xfId="1" applyNumberFormat="1" applyFont="1" applyFill="1"/>
    <xf numFmtId="0" fontId="128" fillId="2" borderId="0" xfId="2" applyFont="1" applyFill="1" applyAlignment="1">
      <alignment horizontal="center"/>
    </xf>
    <xf numFmtId="165" fontId="13" fillId="48" borderId="3" xfId="1" applyNumberFormat="1" applyFont="1" applyFill="1" applyBorder="1" applyAlignment="1">
      <alignment horizontal="center" vertical="top" wrapText="1"/>
    </xf>
    <xf numFmtId="165" fontId="13" fillId="48" borderId="3" xfId="1" applyNumberFormat="1" applyFont="1" applyFill="1" applyBorder="1" applyAlignment="1">
      <alignment horizontal="center" vertical="center" wrapText="1"/>
    </xf>
    <xf numFmtId="165" fontId="13" fillId="4" borderId="3" xfId="1" applyNumberFormat="1" applyFont="1" applyFill="1" applyBorder="1" applyAlignment="1">
      <alignment horizontal="center" vertical="top" wrapText="1"/>
    </xf>
    <xf numFmtId="165" fontId="22" fillId="0" borderId="0" xfId="2" applyNumberFormat="1" applyFont="1" applyFill="1" applyAlignment="1">
      <alignment vertical="center"/>
    </xf>
    <xf numFmtId="165" fontId="37" fillId="3" borderId="99" xfId="1" applyNumberFormat="1" applyFont="1" applyFill="1" applyBorder="1" applyAlignment="1">
      <alignment horizontal="right" wrapText="1"/>
    </xf>
    <xf numFmtId="0" fontId="77" fillId="0" borderId="0" xfId="40" applyFont="1" applyFill="1" applyBorder="1" applyAlignment="1">
      <alignment horizontal="center" vertical="center"/>
    </xf>
    <xf numFmtId="0" fontId="77" fillId="0" borderId="18" xfId="40" applyFont="1" applyFill="1" applyBorder="1" applyAlignment="1">
      <alignment horizontal="center" vertical="center"/>
    </xf>
    <xf numFmtId="0" fontId="43" fillId="0" borderId="3" xfId="65" applyFont="1" applyFill="1" applyBorder="1" applyAlignment="1">
      <alignment horizontal="center" vertical="center" wrapText="1"/>
    </xf>
    <xf numFmtId="0" fontId="155" fillId="0" borderId="3" xfId="65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37" fillId="3" borderId="58" xfId="0" applyFont="1" applyFill="1" applyBorder="1" applyAlignment="1">
      <alignment horizontal="center" vertical="center" wrapText="1"/>
    </xf>
    <xf numFmtId="165" fontId="37" fillId="3" borderId="30" xfId="1" applyNumberFormat="1" applyFont="1" applyFill="1" applyBorder="1" applyAlignment="1">
      <alignment vertical="center" wrapText="1"/>
    </xf>
    <xf numFmtId="165" fontId="37" fillId="3" borderId="3" xfId="1" applyNumberFormat="1" applyFont="1" applyFill="1" applyBorder="1" applyAlignment="1">
      <alignment horizontal="right" vertical="center" wrapText="1"/>
    </xf>
    <xf numFmtId="165" fontId="69" fillId="3" borderId="58" xfId="1" applyNumberFormat="1" applyFont="1" applyFill="1" applyBorder="1" applyAlignment="1">
      <alignment horizontal="right" vertical="center"/>
    </xf>
    <xf numFmtId="0" fontId="37" fillId="3" borderId="3" xfId="0" applyFont="1" applyFill="1" applyBorder="1" applyAlignment="1">
      <alignment horizontal="center" vertical="center" wrapText="1"/>
    </xf>
    <xf numFmtId="165" fontId="37" fillId="3" borderId="19" xfId="1" applyNumberFormat="1" applyFont="1" applyFill="1" applyBorder="1" applyAlignment="1">
      <alignment vertical="center" wrapText="1"/>
    </xf>
    <xf numFmtId="165" fontId="69" fillId="3" borderId="3" xfId="1" applyNumberFormat="1" applyFont="1" applyFill="1" applyBorder="1" applyAlignment="1">
      <alignment horizontal="right" vertical="center"/>
    </xf>
    <xf numFmtId="175" fontId="69" fillId="3" borderId="3" xfId="1" quotePrefix="1" applyNumberFormat="1" applyFont="1" applyFill="1" applyBorder="1" applyAlignment="1">
      <alignment horizontal="right" vertical="center" wrapText="1"/>
    </xf>
    <xf numFmtId="175" fontId="69" fillId="3" borderId="3" xfId="1" applyNumberFormat="1" applyFont="1" applyFill="1" applyBorder="1" applyAlignment="1">
      <alignment horizontal="right" vertical="center"/>
    </xf>
    <xf numFmtId="175" fontId="69" fillId="3" borderId="3" xfId="1" quotePrefix="1" applyNumberFormat="1" applyFont="1" applyFill="1" applyBorder="1" applyAlignment="1">
      <alignment horizontal="right" vertical="center"/>
    </xf>
    <xf numFmtId="165" fontId="37" fillId="3" borderId="27" xfId="1" applyNumberFormat="1" applyFont="1" applyFill="1" applyBorder="1" applyAlignment="1">
      <alignment vertical="center" wrapText="1"/>
    </xf>
    <xf numFmtId="175" fontId="69" fillId="3" borderId="61" xfId="1" applyNumberFormat="1" applyFont="1" applyFill="1" applyBorder="1" applyAlignment="1">
      <alignment horizontal="right" vertical="center" wrapText="1"/>
    </xf>
    <xf numFmtId="175" fontId="69" fillId="3" borderId="61" xfId="1" quotePrefix="1" applyNumberFormat="1" applyFont="1" applyFill="1" applyBorder="1" applyAlignment="1">
      <alignment horizontal="right" vertical="center" wrapText="1"/>
    </xf>
    <xf numFmtId="175" fontId="69" fillId="3" borderId="3" xfId="1" applyNumberFormat="1" applyFont="1" applyFill="1" applyBorder="1" applyAlignment="1">
      <alignment horizontal="right" vertical="center" wrapText="1"/>
    </xf>
    <xf numFmtId="175" fontId="69" fillId="3" borderId="61" xfId="1" applyNumberFormat="1" applyFont="1" applyFill="1" applyBorder="1" applyAlignment="1">
      <alignment horizontal="right" vertical="center"/>
    </xf>
    <xf numFmtId="0" fontId="84" fillId="3" borderId="19" xfId="0" applyFont="1" applyFill="1" applyBorder="1" applyAlignment="1">
      <alignment horizontal="center" vertical="center" wrapText="1"/>
    </xf>
    <xf numFmtId="165" fontId="37" fillId="3" borderId="30" xfId="1" applyNumberFormat="1" applyFont="1" applyFill="1" applyBorder="1" applyAlignment="1">
      <alignment horizontal="left" vertical="center" wrapText="1"/>
    </xf>
    <xf numFmtId="175" fontId="69" fillId="3" borderId="58" xfId="1" applyNumberFormat="1" applyFont="1" applyFill="1" applyBorder="1" applyAlignment="1">
      <alignment horizontal="right" vertical="center"/>
    </xf>
    <xf numFmtId="175" fontId="69" fillId="3" borderId="58" xfId="1" quotePrefix="1" applyNumberFormat="1" applyFont="1" applyFill="1" applyBorder="1" applyAlignment="1">
      <alignment horizontal="right" vertical="center"/>
    </xf>
    <xf numFmtId="165" fontId="37" fillId="3" borderId="3" xfId="1" applyNumberFormat="1" applyFont="1" applyFill="1" applyBorder="1" applyAlignment="1">
      <alignment vertical="center" wrapText="1"/>
    </xf>
    <xf numFmtId="175" fontId="69" fillId="3" borderId="61" xfId="1" quotePrefix="1" applyNumberFormat="1" applyFont="1" applyFill="1" applyBorder="1" applyAlignment="1">
      <alignment horizontal="right" vertical="center"/>
    </xf>
    <xf numFmtId="165" fontId="84" fillId="3" borderId="19" xfId="1" applyNumberFormat="1" applyFont="1" applyFill="1" applyBorder="1" applyAlignment="1">
      <alignment vertical="center"/>
    </xf>
    <xf numFmtId="165" fontId="84" fillId="3" borderId="20" xfId="1" applyNumberFormat="1" applyFont="1" applyFill="1" applyBorder="1" applyAlignment="1">
      <alignment vertical="center" wrapText="1"/>
    </xf>
    <xf numFmtId="0" fontId="37" fillId="3" borderId="19" xfId="0" applyFont="1" applyFill="1" applyBorder="1" applyAlignment="1">
      <alignment horizontal="center" vertical="center" wrapText="1"/>
    </xf>
    <xf numFmtId="165" fontId="37" fillId="3" borderId="3" xfId="1" applyNumberFormat="1" applyFont="1" applyFill="1" applyBorder="1" applyAlignment="1">
      <alignment horizontal="left" vertical="center" wrapText="1"/>
    </xf>
    <xf numFmtId="175" fontId="37" fillId="3" borderId="3" xfId="0" applyNumberFormat="1" applyFont="1" applyFill="1" applyBorder="1" applyAlignment="1">
      <alignment horizontal="right" vertical="center" wrapText="1"/>
    </xf>
    <xf numFmtId="165" fontId="69" fillId="3" borderId="19" xfId="1" applyNumberFormat="1" applyFont="1" applyFill="1" applyBorder="1" applyAlignment="1">
      <alignment vertical="center" wrapText="1"/>
    </xf>
    <xf numFmtId="165" fontId="37" fillId="3" borderId="19" xfId="1" applyNumberFormat="1" applyFont="1" applyFill="1" applyBorder="1" applyAlignment="1">
      <alignment vertical="center"/>
    </xf>
    <xf numFmtId="0" fontId="141" fillId="3" borderId="3" xfId="40" applyFont="1" applyFill="1" applyBorder="1" applyAlignment="1">
      <alignment horizontal="center" vertical="center"/>
    </xf>
    <xf numFmtId="0" fontId="141" fillId="3" borderId="0" xfId="40" applyFont="1" applyFill="1" applyBorder="1" applyAlignment="1">
      <alignment horizontal="center" vertical="center"/>
    </xf>
    <xf numFmtId="165" fontId="37" fillId="3" borderId="0" xfId="1" applyNumberFormat="1" applyFont="1" applyFill="1" applyBorder="1" applyAlignment="1">
      <alignment vertical="center" wrapText="1"/>
    </xf>
    <xf numFmtId="175" fontId="69" fillId="3" borderId="0" xfId="1" applyNumberFormat="1" applyFont="1" applyFill="1" applyBorder="1" applyAlignment="1">
      <alignment horizontal="right" vertical="center" wrapText="1"/>
    </xf>
    <xf numFmtId="175" fontId="69" fillId="3" borderId="0" xfId="1" applyNumberFormat="1" applyFont="1" applyFill="1" applyBorder="1" applyAlignment="1">
      <alignment horizontal="right" vertical="center"/>
    </xf>
    <xf numFmtId="165" fontId="37" fillId="3" borderId="0" xfId="1" applyNumberFormat="1" applyFont="1" applyFill="1" applyBorder="1" applyAlignment="1">
      <alignment horizontal="right" vertical="center" wrapText="1"/>
    </xf>
    <xf numFmtId="0" fontId="141" fillId="3" borderId="30" xfId="40" applyFont="1" applyFill="1" applyBorder="1" applyAlignment="1">
      <alignment horizontal="center" vertical="center"/>
    </xf>
    <xf numFmtId="165" fontId="141" fillId="3" borderId="30" xfId="1" applyNumberFormat="1" applyFont="1" applyFill="1" applyBorder="1" applyAlignment="1">
      <alignment vertical="center" wrapText="1"/>
    </xf>
    <xf numFmtId="165" fontId="141" fillId="3" borderId="58" xfId="1" applyNumberFormat="1" applyFont="1" applyFill="1" applyBorder="1" applyAlignment="1">
      <alignment horizontal="right" vertical="center"/>
    </xf>
    <xf numFmtId="165" fontId="141" fillId="3" borderId="18" xfId="1" applyNumberFormat="1" applyFont="1" applyFill="1" applyBorder="1" applyAlignment="1">
      <alignment horizontal="right" vertical="center"/>
    </xf>
    <xf numFmtId="0" fontId="13" fillId="3" borderId="3" xfId="54" applyFont="1" applyFill="1" applyBorder="1" applyAlignment="1">
      <alignment horizontal="center" vertical="center"/>
    </xf>
    <xf numFmtId="165" fontId="69" fillId="3" borderId="3" xfId="1" applyNumberFormat="1" applyFont="1" applyFill="1" applyBorder="1" applyAlignment="1">
      <alignment vertical="center" wrapText="1"/>
    </xf>
    <xf numFmtId="0" fontId="141" fillId="3" borderId="19" xfId="40" applyFont="1" applyFill="1" applyBorder="1" applyAlignment="1">
      <alignment horizontal="center" vertical="center"/>
    </xf>
    <xf numFmtId="165" fontId="84" fillId="3" borderId="3" xfId="1" applyNumberFormat="1" applyFont="1" applyFill="1" applyBorder="1" applyAlignment="1">
      <alignment vertical="center" wrapText="1"/>
    </xf>
    <xf numFmtId="165" fontId="13" fillId="3" borderId="3" xfId="1" applyNumberFormat="1" applyFont="1" applyFill="1" applyBorder="1" applyAlignment="1">
      <alignment horizontal="right" vertical="center"/>
    </xf>
    <xf numFmtId="175" fontId="9" fillId="3" borderId="3" xfId="54" applyNumberFormat="1" applyFont="1" applyFill="1" applyBorder="1" applyAlignment="1">
      <alignment horizontal="right" vertical="center"/>
    </xf>
    <xf numFmtId="175" fontId="9" fillId="3" borderId="58" xfId="54" applyNumberFormat="1" applyFont="1" applyFill="1" applyBorder="1" applyAlignment="1">
      <alignment horizontal="right" vertical="center"/>
    </xf>
    <xf numFmtId="175" fontId="9" fillId="3" borderId="61" xfId="54" applyNumberFormat="1" applyFont="1" applyFill="1" applyBorder="1" applyAlignment="1">
      <alignment horizontal="right" vertical="center"/>
    </xf>
    <xf numFmtId="165" fontId="84" fillId="3" borderId="19" xfId="1" applyNumberFormat="1" applyFont="1" applyFill="1" applyBorder="1" applyAlignment="1">
      <alignment vertical="center" wrapText="1"/>
    </xf>
    <xf numFmtId="165" fontId="13" fillId="3" borderId="20" xfId="1" applyNumberFormat="1" applyFont="1" applyFill="1" applyBorder="1" applyAlignment="1">
      <alignment horizontal="right" vertical="center"/>
    </xf>
    <xf numFmtId="165" fontId="9" fillId="3" borderId="3" xfId="1" applyNumberFormat="1" applyFont="1" applyFill="1" applyBorder="1" applyAlignment="1">
      <alignment horizontal="right" vertical="center"/>
    </xf>
    <xf numFmtId="0" fontId="84" fillId="3" borderId="61" xfId="0" applyFont="1" applyFill="1" applyBorder="1" applyAlignment="1">
      <alignment horizontal="center" vertical="center" wrapText="1"/>
    </xf>
    <xf numFmtId="165" fontId="37" fillId="3" borderId="29" xfId="1" applyNumberFormat="1" applyFont="1" applyFill="1" applyBorder="1" applyAlignment="1">
      <alignment vertical="center" wrapText="1"/>
    </xf>
    <xf numFmtId="165" fontId="9" fillId="3" borderId="62" xfId="1" applyNumberFormat="1" applyFont="1" applyFill="1" applyBorder="1" applyAlignment="1">
      <alignment horizontal="right" vertical="center"/>
    </xf>
    <xf numFmtId="0" fontId="84" fillId="3" borderId="3" xfId="0" applyFont="1" applyFill="1" applyBorder="1" applyAlignment="1">
      <alignment horizontal="center"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165" fontId="37" fillId="3" borderId="20" xfId="1" applyNumberFormat="1" applyFont="1" applyFill="1" applyBorder="1" applyAlignment="1">
      <alignment vertical="center" wrapText="1"/>
    </xf>
    <xf numFmtId="165" fontId="9" fillId="3" borderId="20" xfId="1" applyNumberFormat="1" applyFont="1" applyFill="1" applyBorder="1" applyAlignment="1">
      <alignment horizontal="right" vertical="center"/>
    </xf>
    <xf numFmtId="165" fontId="69" fillId="3" borderId="21" xfId="1" applyNumberFormat="1" applyFont="1" applyFill="1" applyBorder="1" applyAlignment="1">
      <alignment horizontal="right" vertical="center"/>
    </xf>
    <xf numFmtId="165" fontId="84" fillId="3" borderId="30" xfId="1" applyNumberFormat="1" applyFont="1" applyFill="1" applyBorder="1" applyAlignment="1">
      <alignment vertical="center" wrapText="1"/>
    </xf>
    <xf numFmtId="165" fontId="9" fillId="3" borderId="58" xfId="1" applyNumberFormat="1" applyFont="1" applyFill="1" applyBorder="1" applyAlignment="1">
      <alignment horizontal="right" vertical="center"/>
    </xf>
    <xf numFmtId="0" fontId="141" fillId="3" borderId="19" xfId="40" applyFont="1" applyFill="1" applyBorder="1" applyAlignment="1">
      <alignment vertical="center" wrapText="1"/>
    </xf>
    <xf numFmtId="175" fontId="141" fillId="3" borderId="3" xfId="40" applyNumberFormat="1" applyFont="1" applyFill="1" applyBorder="1" applyAlignment="1">
      <alignment horizontal="right" vertical="center"/>
    </xf>
    <xf numFmtId="0" fontId="69" fillId="3" borderId="3" xfId="40" applyFont="1" applyFill="1" applyBorder="1" applyAlignment="1">
      <alignment horizontal="center" vertical="center"/>
    </xf>
    <xf numFmtId="0" fontId="69" fillId="0" borderId="0" xfId="40" applyFont="1" applyFill="1" applyBorder="1" applyAlignment="1">
      <alignment horizontal="center" vertical="center"/>
    </xf>
    <xf numFmtId="0" fontId="69" fillId="0" borderId="0" xfId="40" applyFont="1" applyFill="1" applyBorder="1" applyAlignment="1">
      <alignment vertical="center"/>
    </xf>
    <xf numFmtId="165" fontId="69" fillId="0" borderId="0" xfId="1" applyNumberFormat="1" applyFont="1" applyFill="1" applyBorder="1" applyAlignment="1">
      <alignment vertical="center"/>
    </xf>
    <xf numFmtId="175" fontId="0" fillId="0" borderId="0" xfId="0" applyNumberFormat="1"/>
    <xf numFmtId="176" fontId="80" fillId="3" borderId="0" xfId="55" applyNumberFormat="1" applyFont="1" applyFill="1" applyAlignment="1"/>
    <xf numFmtId="0" fontId="22" fillId="0" borderId="0" xfId="2" applyFont="1" applyBorder="1"/>
    <xf numFmtId="0" fontId="93" fillId="0" borderId="0" xfId="2" applyFont="1" applyBorder="1" applyAlignment="1">
      <alignment horizontal="right"/>
    </xf>
    <xf numFmtId="0" fontId="96" fillId="0" borderId="0" xfId="2" applyFont="1" applyBorder="1" applyAlignment="1">
      <alignment horizontal="right"/>
    </xf>
    <xf numFmtId="0" fontId="80" fillId="0" borderId="0" xfId="0" applyFont="1" applyBorder="1"/>
    <xf numFmtId="176" fontId="22" fillId="0" borderId="0" xfId="2" applyNumberFormat="1" applyFont="1"/>
    <xf numFmtId="165" fontId="12" fillId="0" borderId="0" xfId="1" applyNumberFormat="1" applyFont="1" applyAlignment="1">
      <alignment horizontal="center" vertical="center"/>
    </xf>
    <xf numFmtId="165" fontId="22" fillId="0" borderId="0" xfId="1" applyNumberFormat="1" applyFont="1" applyFill="1"/>
    <xf numFmtId="165" fontId="9" fillId="0" borderId="0" xfId="1" applyNumberFormat="1" applyFont="1" applyFill="1"/>
    <xf numFmtId="165" fontId="9" fillId="0" borderId="0" xfId="1" applyNumberFormat="1" applyFont="1"/>
    <xf numFmtId="165" fontId="22" fillId="0" borderId="0" xfId="1" applyNumberFormat="1" applyFont="1" applyFill="1" applyAlignment="1">
      <alignment vertical="center"/>
    </xf>
    <xf numFmtId="165" fontId="22" fillId="0" borderId="0" xfId="1" applyNumberFormat="1" applyFont="1" applyFill="1" applyBorder="1"/>
    <xf numFmtId="164" fontId="9" fillId="0" borderId="0" xfId="1" applyNumberFormat="1" applyFont="1"/>
    <xf numFmtId="165" fontId="9" fillId="0" borderId="0" xfId="2" applyNumberFormat="1" applyBorder="1"/>
    <xf numFmtId="165" fontId="125" fillId="50" borderId="0" xfId="1" applyNumberFormat="1" applyFont="1" applyFill="1"/>
    <xf numFmtId="176" fontId="22" fillId="0" borderId="0" xfId="2" applyNumberFormat="1" applyFont="1" applyAlignment="1">
      <alignment vertical="center"/>
    </xf>
    <xf numFmtId="176" fontId="80" fillId="48" borderId="0" xfId="55" applyNumberFormat="1" applyFont="1" applyFill="1"/>
    <xf numFmtId="164" fontId="104" fillId="38" borderId="3" xfId="1" applyNumberFormat="1" applyFont="1" applyFill="1" applyBorder="1" applyAlignment="1" applyProtection="1">
      <alignment vertical="center"/>
      <protection hidden="1"/>
    </xf>
    <xf numFmtId="41" fontId="107" fillId="38" borderId="3" xfId="0" applyNumberFormat="1" applyFont="1" applyFill="1" applyBorder="1" applyAlignment="1" applyProtection="1">
      <alignment horizontal="right"/>
      <protection hidden="1"/>
    </xf>
    <xf numFmtId="0" fontId="107" fillId="38" borderId="3" xfId="0" applyFont="1" applyFill="1" applyBorder="1" applyAlignment="1" applyProtection="1">
      <alignment horizontal="right" vertical="center"/>
      <protection hidden="1"/>
    </xf>
    <xf numFmtId="0" fontId="107" fillId="38" borderId="3" xfId="0" applyFont="1" applyFill="1" applyBorder="1" applyAlignment="1" applyProtection="1">
      <alignment horizontal="right" vertical="center"/>
      <protection locked="0"/>
    </xf>
    <xf numFmtId="49" fontId="82" fillId="5" borderId="0" xfId="0" applyNumberFormat="1" applyFont="1" applyFill="1" applyBorder="1" applyAlignment="1">
      <alignment horizontal="center" vertical="center" wrapText="1"/>
    </xf>
    <xf numFmtId="49" fontId="37" fillId="5" borderId="49" xfId="0" applyNumberFormat="1" applyFont="1" applyFill="1" applyBorder="1" applyAlignment="1">
      <alignment horizontal="left" vertical="center" wrapText="1"/>
    </xf>
    <xf numFmtId="49" fontId="37" fillId="5" borderId="51" xfId="0" applyNumberFormat="1" applyFont="1" applyFill="1" applyBorder="1" applyAlignment="1">
      <alignment horizontal="left" vertical="center" wrapText="1"/>
    </xf>
    <xf numFmtId="165" fontId="69" fillId="3" borderId="51" xfId="1" applyNumberFormat="1" applyFont="1" applyFill="1" applyBorder="1" applyAlignment="1">
      <alignment horizontal="right" wrapText="1"/>
    </xf>
    <xf numFmtId="165" fontId="82" fillId="51" borderId="3" xfId="1" applyNumberFormat="1" applyFont="1" applyFill="1" applyBorder="1" applyAlignment="1">
      <alignment horizontal="left" wrapText="1"/>
    </xf>
    <xf numFmtId="49" fontId="37" fillId="5" borderId="59" xfId="0" applyNumberFormat="1" applyFont="1" applyFill="1" applyBorder="1" applyAlignment="1">
      <alignment horizontal="left" vertical="center" wrapText="1"/>
    </xf>
    <xf numFmtId="49" fontId="37" fillId="5" borderId="38" xfId="0" applyNumberFormat="1" applyFont="1" applyFill="1" applyBorder="1" applyAlignment="1">
      <alignment horizontal="left" vertical="center" wrapText="1"/>
    </xf>
    <xf numFmtId="165" fontId="69" fillId="3" borderId="38" xfId="1" applyNumberFormat="1" applyFont="1" applyFill="1" applyBorder="1" applyAlignment="1">
      <alignment horizontal="right" wrapText="1"/>
    </xf>
    <xf numFmtId="49" fontId="13" fillId="51" borderId="3" xfId="2" applyNumberFormat="1" applyFont="1" applyFill="1" applyBorder="1" applyAlignment="1">
      <alignment horizontal="center" vertical="center" wrapText="1"/>
    </xf>
    <xf numFmtId="49" fontId="22" fillId="5" borderId="3" xfId="2" applyNumberFormat="1" applyFont="1" applyFill="1" applyBorder="1" applyAlignment="1">
      <alignment horizontal="center" vertical="center" wrapText="1"/>
    </xf>
    <xf numFmtId="49" fontId="74" fillId="4" borderId="49" xfId="40" applyNumberFormat="1" applyFont="1" applyFill="1" applyBorder="1" applyAlignment="1">
      <alignment horizontal="left" vertical="center" wrapText="1"/>
    </xf>
    <xf numFmtId="49" fontId="73" fillId="30" borderId="51" xfId="0" applyNumberFormat="1" applyFont="1" applyFill="1" applyBorder="1" applyAlignment="1">
      <alignment horizontal="left" vertical="center" wrapText="1"/>
    </xf>
    <xf numFmtId="49" fontId="114" fillId="4" borderId="72" xfId="40" applyNumberFormat="1" applyFont="1" applyFill="1" applyBorder="1" applyAlignment="1">
      <alignment horizontal="left" vertical="center" wrapText="1"/>
    </xf>
    <xf numFmtId="49" fontId="36" fillId="30" borderId="54" xfId="0" applyNumberFormat="1" applyFont="1" applyFill="1" applyBorder="1" applyAlignment="1">
      <alignment horizontal="center" vertical="center" wrapText="1"/>
    </xf>
    <xf numFmtId="165" fontId="36" fillId="30" borderId="54" xfId="1" applyNumberFormat="1" applyFont="1" applyFill="1" applyBorder="1" applyAlignment="1">
      <alignment horizontal="left" wrapText="1"/>
    </xf>
    <xf numFmtId="49" fontId="9" fillId="3" borderId="3" xfId="40" applyNumberFormat="1" applyFont="1" applyFill="1" applyBorder="1" applyAlignment="1">
      <alignment horizontal="left" vertical="center" wrapText="1"/>
    </xf>
    <xf numFmtId="49" fontId="74" fillId="4" borderId="75" xfId="40" applyNumberFormat="1" applyFont="1" applyFill="1" applyBorder="1" applyAlignment="1">
      <alignment horizontal="left" vertical="center" wrapText="1"/>
    </xf>
    <xf numFmtId="49" fontId="73" fillId="30" borderId="76" xfId="0" applyNumberFormat="1" applyFont="1" applyFill="1" applyBorder="1" applyAlignment="1">
      <alignment horizontal="left" vertical="center" wrapText="1"/>
    </xf>
    <xf numFmtId="165" fontId="73" fillId="30" borderId="76" xfId="1" applyNumberFormat="1" applyFont="1" applyFill="1" applyBorder="1" applyAlignment="1">
      <alignment horizontal="left" wrapText="1"/>
    </xf>
    <xf numFmtId="49" fontId="100" fillId="4" borderId="75" xfId="40" applyNumberFormat="1" applyFont="1" applyFill="1" applyBorder="1" applyAlignment="1">
      <alignment horizontal="left" vertical="center" wrapText="1"/>
    </xf>
    <xf numFmtId="49" fontId="73" fillId="30" borderId="76" xfId="0" applyNumberFormat="1" applyFont="1" applyFill="1" applyBorder="1" applyAlignment="1">
      <alignment vertical="center" wrapText="1"/>
    </xf>
    <xf numFmtId="0" fontId="128" fillId="2" borderId="0" xfId="2" applyFont="1" applyFill="1" applyAlignment="1">
      <alignment wrapText="1"/>
    </xf>
    <xf numFmtId="0" fontId="154" fillId="0" borderId="0" xfId="2" applyFont="1" applyAlignment="1">
      <alignment vertical="center"/>
    </xf>
    <xf numFmtId="165" fontId="154" fillId="0" borderId="0" xfId="1" applyNumberFormat="1" applyFont="1" applyAlignment="1">
      <alignment vertical="center"/>
    </xf>
    <xf numFmtId="165" fontId="13" fillId="0" borderId="0" xfId="2" applyNumberFormat="1" applyFont="1" applyFill="1" applyAlignment="1">
      <alignment vertical="center"/>
    </xf>
    <xf numFmtId="49" fontId="74" fillId="4" borderId="59" xfId="40" applyNumberFormat="1" applyFont="1" applyFill="1" applyBorder="1" applyAlignment="1">
      <alignment horizontal="left" vertical="center" wrapText="1"/>
    </xf>
    <xf numFmtId="49" fontId="73" fillId="30" borderId="38" xfId="0" applyNumberFormat="1" applyFont="1" applyFill="1" applyBorder="1" applyAlignment="1">
      <alignment horizontal="left" vertical="center" wrapText="1"/>
    </xf>
    <xf numFmtId="49" fontId="37" fillId="3" borderId="3" xfId="40" applyNumberFormat="1" applyFont="1" applyFill="1" applyBorder="1" applyAlignment="1">
      <alignment vertical="center" wrapText="1"/>
    </xf>
    <xf numFmtId="49" fontId="37" fillId="50" borderId="59" xfId="40" applyNumberFormat="1" applyFont="1" applyFill="1" applyBorder="1" applyAlignment="1">
      <alignment horizontal="left" vertical="center" wrapText="1"/>
    </xf>
    <xf numFmtId="49" fontId="37" fillId="50" borderId="38" xfId="40" applyNumberFormat="1" applyFont="1" applyFill="1" applyBorder="1" applyAlignment="1">
      <alignment horizontal="left" vertical="center" wrapText="1"/>
    </xf>
    <xf numFmtId="165" fontId="37" fillId="50" borderId="38" xfId="1" applyNumberFormat="1" applyFont="1" applyFill="1" applyBorder="1" applyAlignment="1">
      <alignment horizontal="right" wrapText="1"/>
    </xf>
    <xf numFmtId="165" fontId="73" fillId="4" borderId="38" xfId="1" applyNumberFormat="1" applyFont="1" applyFill="1" applyBorder="1" applyAlignment="1">
      <alignment horizontal="left" wrapText="1"/>
    </xf>
    <xf numFmtId="165" fontId="160" fillId="55" borderId="5" xfId="1" applyNumberFormat="1" applyFont="1" applyFill="1" applyBorder="1" applyAlignment="1">
      <alignment horizontal="right" wrapText="1"/>
    </xf>
    <xf numFmtId="0" fontId="7" fillId="3" borderId="3" xfId="40" applyFill="1" applyBorder="1"/>
    <xf numFmtId="0" fontId="1" fillId="3" borderId="3" xfId="40" applyFont="1" applyFill="1" applyBorder="1" applyAlignment="1">
      <alignment vertical="center"/>
    </xf>
    <xf numFmtId="0" fontId="96" fillId="2" borderId="0" xfId="2" applyFont="1" applyFill="1" applyBorder="1" applyAlignment="1">
      <alignment horizontal="left"/>
    </xf>
    <xf numFmtId="0" fontId="127" fillId="2" borderId="0" xfId="54" applyFont="1" applyFill="1" applyAlignment="1">
      <alignment horizontal="center" wrapText="1"/>
    </xf>
    <xf numFmtId="0" fontId="13" fillId="48" borderId="3" xfId="2" applyFont="1" applyFill="1" applyBorder="1" applyAlignment="1">
      <alignment horizontal="center" vertical="center" wrapText="1"/>
    </xf>
    <xf numFmtId="49" fontId="71" fillId="51" borderId="3" xfId="2" applyNumberFormat="1" applyFont="1" applyFill="1" applyBorder="1" applyAlignment="1">
      <alignment horizontal="center" vertical="center" wrapText="1"/>
    </xf>
    <xf numFmtId="165" fontId="141" fillId="48" borderId="8" xfId="1" applyNumberFormat="1" applyFont="1" applyFill="1" applyBorder="1" applyAlignment="1">
      <alignment horizontal="right" wrapText="1"/>
    </xf>
    <xf numFmtId="165" fontId="84" fillId="0" borderId="36" xfId="1" applyNumberFormat="1" applyFont="1" applyBorder="1" applyAlignment="1">
      <alignment horizontal="right" vertical="center" wrapText="1"/>
    </xf>
    <xf numFmtId="165" fontId="84" fillId="3" borderId="36" xfId="1" applyNumberFormat="1" applyFont="1" applyFill="1" applyBorder="1" applyAlignment="1">
      <alignment horizontal="right" vertical="center" wrapText="1"/>
    </xf>
    <xf numFmtId="165" fontId="84" fillId="0" borderId="37" xfId="1" applyNumberFormat="1" applyFont="1" applyBorder="1" applyAlignment="1">
      <alignment horizontal="right" vertical="center" wrapText="1"/>
    </xf>
    <xf numFmtId="0" fontId="22" fillId="3" borderId="19" xfId="41" applyFont="1" applyFill="1" applyBorder="1" applyAlignment="1">
      <alignment horizontal="right" vertical="center"/>
    </xf>
    <xf numFmtId="49" fontId="36" fillId="3" borderId="20" xfId="2" applyNumberFormat="1" applyFont="1" applyFill="1" applyBorder="1" applyAlignment="1">
      <alignment horizontal="right" wrapText="1"/>
    </xf>
    <xf numFmtId="0" fontId="37" fillId="3" borderId="20" xfId="41" applyFont="1" applyFill="1" applyBorder="1" applyAlignment="1">
      <alignment vertical="top"/>
    </xf>
    <xf numFmtId="0" fontId="73" fillId="3" borderId="21" xfId="2" applyFont="1" applyFill="1" applyBorder="1" applyAlignment="1">
      <alignment horizontal="right" vertical="center"/>
    </xf>
    <xf numFmtId="49" fontId="37" fillId="5" borderId="3" xfId="0" applyNumberFormat="1" applyFont="1" applyFill="1" applyBorder="1" applyAlignment="1">
      <alignment horizontal="left" vertical="center" wrapText="1"/>
    </xf>
    <xf numFmtId="0" fontId="71" fillId="6" borderId="29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15" fillId="6" borderId="0" xfId="2" applyFont="1" applyFill="1" applyBorder="1" applyAlignment="1">
      <alignment horizontal="center" vertical="center" wrapText="1"/>
    </xf>
    <xf numFmtId="0" fontId="13" fillId="6" borderId="0" xfId="2" applyFont="1" applyFill="1" applyBorder="1" applyAlignment="1">
      <alignment horizontal="center" vertical="center" wrapText="1"/>
    </xf>
    <xf numFmtId="165" fontId="13" fillId="6" borderId="0" xfId="1" applyNumberFormat="1" applyFont="1" applyFill="1" applyBorder="1" applyAlignment="1">
      <alignment horizontal="center" vertical="top" wrapText="1"/>
    </xf>
    <xf numFmtId="0" fontId="0" fillId="0" borderId="3" xfId="0" applyBorder="1"/>
    <xf numFmtId="49" fontId="37" fillId="5" borderId="3" xfId="0" applyNumberFormat="1" applyFont="1" applyFill="1" applyBorder="1" applyAlignment="1">
      <alignment horizontal="right" vertical="center" wrapText="1"/>
    </xf>
    <xf numFmtId="165" fontId="163" fillId="0" borderId="3" xfId="0" applyNumberFormat="1" applyFont="1" applyBorder="1"/>
    <xf numFmtId="49" fontId="69" fillId="3" borderId="3" xfId="55" applyNumberFormat="1" applyFont="1" applyFill="1" applyBorder="1" applyAlignment="1">
      <alignment horizontal="left" vertical="center" wrapText="1"/>
    </xf>
    <xf numFmtId="49" fontId="16" fillId="3" borderId="3" xfId="40" applyNumberFormat="1" applyFont="1" applyFill="1" applyBorder="1" applyAlignment="1">
      <alignment horizontal="left" vertical="center" wrapText="1"/>
    </xf>
    <xf numFmtId="49" fontId="69" fillId="3" borderId="3" xfId="55" applyNumberFormat="1" applyFont="1" applyFill="1" applyBorder="1" applyAlignment="1">
      <alignment vertical="center" wrapText="1"/>
    </xf>
    <xf numFmtId="165" fontId="163" fillId="48" borderId="3" xfId="0" applyNumberFormat="1" applyFont="1" applyFill="1" applyBorder="1"/>
    <xf numFmtId="49" fontId="141" fillId="48" borderId="3" xfId="55" applyNumberFormat="1" applyFont="1" applyFill="1" applyBorder="1" applyAlignment="1">
      <alignment horizontal="left" vertical="center" wrapText="1"/>
    </xf>
    <xf numFmtId="43" fontId="163" fillId="48" borderId="3" xfId="0" applyNumberFormat="1" applyFont="1" applyFill="1" applyBorder="1"/>
    <xf numFmtId="43" fontId="22" fillId="0" borderId="0" xfId="2" applyNumberFormat="1" applyFont="1" applyAlignment="1">
      <alignment vertical="center"/>
    </xf>
    <xf numFmtId="0" fontId="15" fillId="48" borderId="3" xfId="2" applyFont="1" applyFill="1" applyBorder="1" applyAlignment="1">
      <alignment horizontal="center" vertical="center" wrapText="1"/>
    </xf>
    <xf numFmtId="0" fontId="128" fillId="2" borderId="0" xfId="2" applyFont="1" applyFill="1" applyAlignment="1">
      <alignment horizontal="center"/>
    </xf>
    <xf numFmtId="0" fontId="15" fillId="4" borderId="3" xfId="2" applyFont="1" applyFill="1" applyBorder="1" applyAlignment="1">
      <alignment horizontal="center" vertical="center" wrapText="1"/>
    </xf>
    <xf numFmtId="49" fontId="82" fillId="5" borderId="0" xfId="0" applyNumberFormat="1" applyFont="1" applyFill="1" applyBorder="1" applyAlignment="1">
      <alignment horizontal="center" vertical="center" wrapText="1"/>
    </xf>
    <xf numFmtId="0" fontId="13" fillId="48" borderId="3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165" fontId="84" fillId="0" borderId="98" xfId="1" applyNumberFormat="1" applyFont="1" applyBorder="1" applyAlignment="1">
      <alignment horizontal="right" vertical="center" wrapText="1"/>
    </xf>
    <xf numFmtId="165" fontId="69" fillId="0" borderId="99" xfId="1" applyNumberFormat="1" applyFont="1" applyBorder="1" applyAlignment="1">
      <alignment horizontal="right" wrapText="1"/>
    </xf>
    <xf numFmtId="165" fontId="38" fillId="29" borderId="107" xfId="1" applyNumberFormat="1" applyFont="1" applyFill="1" applyBorder="1" applyAlignment="1">
      <alignment vertical="center"/>
    </xf>
    <xf numFmtId="165" fontId="37" fillId="50" borderId="108" xfId="1" applyNumberFormat="1" applyFont="1" applyFill="1" applyBorder="1" applyAlignment="1">
      <alignment horizontal="right" wrapText="1"/>
    </xf>
    <xf numFmtId="165" fontId="73" fillId="4" borderId="108" xfId="1" applyNumberFormat="1" applyFont="1" applyFill="1" applyBorder="1" applyAlignment="1">
      <alignment horizontal="left" wrapText="1"/>
    </xf>
    <xf numFmtId="165" fontId="73" fillId="30" borderId="111" xfId="1" applyNumberFormat="1" applyFont="1" applyFill="1" applyBorder="1" applyAlignment="1">
      <alignment horizontal="left" wrapText="1"/>
    </xf>
    <xf numFmtId="165" fontId="69" fillId="3" borderId="110" xfId="1" applyNumberFormat="1" applyFont="1" applyFill="1" applyBorder="1" applyAlignment="1">
      <alignment horizontal="right" wrapText="1"/>
    </xf>
    <xf numFmtId="165" fontId="69" fillId="3" borderId="108" xfId="1" applyNumberFormat="1" applyFont="1" applyFill="1" applyBorder="1" applyAlignment="1">
      <alignment horizontal="right" wrapText="1"/>
    </xf>
    <xf numFmtId="165" fontId="85" fillId="48" borderId="99" xfId="1" applyNumberFormat="1" applyFont="1" applyFill="1" applyBorder="1" applyAlignment="1">
      <alignment horizontal="left" wrapText="1"/>
    </xf>
    <xf numFmtId="165" fontId="37" fillId="3" borderId="108" xfId="1" applyNumberFormat="1" applyFont="1" applyFill="1" applyBorder="1" applyAlignment="1">
      <alignment horizontal="right" wrapText="1"/>
    </xf>
    <xf numFmtId="165" fontId="37" fillId="3" borderId="110" xfId="1" applyNumberFormat="1" applyFont="1" applyFill="1" applyBorder="1" applyAlignment="1">
      <alignment horizontal="right" wrapText="1"/>
    </xf>
    <xf numFmtId="165" fontId="73" fillId="30" borderId="99" xfId="1" applyNumberFormat="1" applyFont="1" applyFill="1" applyBorder="1" applyAlignment="1">
      <alignment horizontal="left" wrapText="1"/>
    </xf>
    <xf numFmtId="165" fontId="73" fillId="4" borderId="99" xfId="1" applyNumberFormat="1" applyFont="1" applyFill="1" applyBorder="1" applyAlignment="1">
      <alignment horizontal="left" wrapText="1"/>
    </xf>
    <xf numFmtId="165" fontId="85" fillId="48" borderId="98" xfId="1" applyNumberFormat="1" applyFont="1" applyFill="1" applyBorder="1" applyAlignment="1">
      <alignment horizontal="left"/>
    </xf>
    <xf numFmtId="165" fontId="85" fillId="48" borderId="99" xfId="1" applyNumberFormat="1" applyFont="1" applyFill="1" applyBorder="1" applyAlignment="1">
      <alignment horizontal="left" wrapText="1" indent="1"/>
    </xf>
    <xf numFmtId="165" fontId="69" fillId="0" borderId="3" xfId="1" applyNumberFormat="1" applyFont="1" applyFill="1" applyBorder="1" applyAlignment="1">
      <alignment horizontal="right" wrapText="1"/>
    </xf>
    <xf numFmtId="165" fontId="84" fillId="0" borderId="3" xfId="1" applyNumberFormat="1" applyFont="1" applyBorder="1" applyAlignment="1">
      <alignment horizontal="right" vertical="center" wrapText="1"/>
    </xf>
    <xf numFmtId="49" fontId="22" fillId="5" borderId="3" xfId="2" applyNumberFormat="1" applyFont="1" applyFill="1" applyBorder="1" applyAlignment="1">
      <alignment horizontal="left" vertical="center" wrapText="1"/>
    </xf>
    <xf numFmtId="49" fontId="9" fillId="5" borderId="3" xfId="2" applyNumberFormat="1" applyFont="1" applyFill="1" applyBorder="1" applyAlignment="1">
      <alignment horizontal="left" vertical="center" wrapText="1"/>
    </xf>
    <xf numFmtId="49" fontId="9" fillId="5" borderId="3" xfId="2" applyNumberFormat="1" applyFont="1" applyFill="1" applyBorder="1" applyAlignment="1">
      <alignment horizontal="center" vertical="center" wrapText="1"/>
    </xf>
    <xf numFmtId="165" fontId="161" fillId="48" borderId="77" xfId="1" applyNumberFormat="1" applyFont="1" applyFill="1" applyBorder="1" applyAlignment="1">
      <alignment horizontal="right" wrapText="1"/>
    </xf>
    <xf numFmtId="165" fontId="84" fillId="0" borderId="21" xfId="1" applyNumberFormat="1" applyFont="1" applyBorder="1" applyAlignment="1">
      <alignment horizontal="right" vertical="center" wrapText="1"/>
    </xf>
    <xf numFmtId="165" fontId="74" fillId="48" borderId="3" xfId="1" applyNumberFormat="1" applyFont="1" applyFill="1" applyBorder="1" applyAlignment="1">
      <alignment horizontal="right" vertical="center" wrapText="1"/>
    </xf>
    <xf numFmtId="165" fontId="69" fillId="0" borderId="3" xfId="1" applyNumberFormat="1" applyFont="1" applyBorder="1" applyAlignment="1">
      <alignment horizontal="right" vertical="center" wrapText="1"/>
    </xf>
    <xf numFmtId="165" fontId="157" fillId="51" borderId="3" xfId="1" applyNumberFormat="1" applyFont="1" applyFill="1" applyBorder="1" applyAlignment="1">
      <alignment horizontal="left" vertical="center" wrapText="1"/>
    </xf>
    <xf numFmtId="165" fontId="69" fillId="0" borderId="3" xfId="1" applyNumberFormat="1" applyFont="1" applyBorder="1" applyAlignment="1">
      <alignment vertical="center" wrapText="1"/>
    </xf>
    <xf numFmtId="49" fontId="75" fillId="5" borderId="3" xfId="2" applyNumberFormat="1" applyFont="1" applyFill="1" applyBorder="1" applyAlignment="1">
      <alignment wrapText="1"/>
    </xf>
    <xf numFmtId="49" fontId="13" fillId="51" borderId="3" xfId="2" applyNumberFormat="1" applyFont="1" applyFill="1" applyBorder="1" applyAlignment="1">
      <alignment horizontal="left" vertical="center" wrapText="1"/>
    </xf>
    <xf numFmtId="165" fontId="124" fillId="51" borderId="3" xfId="1" applyNumberFormat="1" applyFont="1" applyFill="1" applyBorder="1" applyAlignment="1">
      <alignment horizontal="left" vertical="center" wrapText="1"/>
    </xf>
    <xf numFmtId="165" fontId="161" fillId="48" borderId="3" xfId="1" applyNumberFormat="1" applyFont="1" applyFill="1" applyBorder="1" applyAlignment="1">
      <alignment horizontal="right" wrapText="1"/>
    </xf>
    <xf numFmtId="165" fontId="69" fillId="0" borderId="3" xfId="1" applyNumberFormat="1" applyFont="1" applyBorder="1" applyAlignment="1">
      <alignment horizontal="right" wrapText="1"/>
    </xf>
    <xf numFmtId="165" fontId="141" fillId="48" borderId="3" xfId="1" applyNumberFormat="1" applyFont="1" applyFill="1" applyBorder="1" applyAlignment="1">
      <alignment horizontal="right" wrapText="1"/>
    </xf>
    <xf numFmtId="165" fontId="158" fillId="51" borderId="3" xfId="1" applyNumberFormat="1" applyFont="1" applyFill="1" applyBorder="1" applyAlignment="1">
      <alignment horizontal="left" vertical="center" wrapText="1"/>
    </xf>
    <xf numFmtId="165" fontId="159" fillId="48" borderId="3" xfId="1" applyNumberFormat="1" applyFont="1" applyFill="1" applyBorder="1" applyAlignment="1">
      <alignment horizontal="right" vertical="center" wrapText="1"/>
    </xf>
    <xf numFmtId="165" fontId="84" fillId="4" borderId="3" xfId="1" applyNumberFormat="1" applyFont="1" applyFill="1" applyBorder="1" applyAlignment="1">
      <alignment horizontal="right" vertical="center" wrapText="1"/>
    </xf>
    <xf numFmtId="165" fontId="141" fillId="48" borderId="3" xfId="1" applyNumberFormat="1" applyFont="1" applyFill="1" applyBorder="1" applyAlignment="1">
      <alignment horizontal="right" vertical="center" wrapText="1"/>
    </xf>
    <xf numFmtId="0" fontId="80" fillId="0" borderId="3" xfId="0" applyFont="1" applyBorder="1"/>
    <xf numFmtId="165" fontId="141" fillId="0" borderId="3" xfId="1" applyNumberFormat="1" applyFont="1" applyFill="1" applyBorder="1" applyAlignment="1">
      <alignment horizontal="right" wrapText="1"/>
    </xf>
    <xf numFmtId="165" fontId="73" fillId="30" borderId="110" xfId="1" applyNumberFormat="1" applyFont="1" applyFill="1" applyBorder="1" applyAlignment="1">
      <alignment horizontal="left" wrapText="1"/>
    </xf>
    <xf numFmtId="165" fontId="37" fillId="3" borderId="19" xfId="1" applyNumberFormat="1" applyFont="1" applyFill="1" applyBorder="1" applyAlignment="1">
      <alignment horizontal="right" wrapText="1"/>
    </xf>
    <xf numFmtId="165" fontId="73" fillId="30" borderId="108" xfId="1" applyNumberFormat="1" applyFont="1" applyFill="1" applyBorder="1" applyAlignment="1">
      <alignment horizontal="left" wrapText="1"/>
    </xf>
    <xf numFmtId="165" fontId="160" fillId="55" borderId="99" xfId="1" applyNumberFormat="1" applyFont="1" applyFill="1" applyBorder="1" applyAlignment="1">
      <alignment horizontal="right" wrapText="1"/>
    </xf>
    <xf numFmtId="0" fontId="7" fillId="3" borderId="19" xfId="40" applyFill="1" applyBorder="1"/>
    <xf numFmtId="165" fontId="73" fillId="30" borderId="3" xfId="1" applyNumberFormat="1" applyFont="1" applyFill="1" applyBorder="1" applyAlignment="1">
      <alignment horizontal="left" wrapText="1"/>
    </xf>
    <xf numFmtId="0" fontId="6" fillId="3" borderId="3" xfId="40" applyFont="1" applyFill="1" applyBorder="1"/>
    <xf numFmtId="165" fontId="160" fillId="55" borderId="3" xfId="1" applyNumberFormat="1" applyFont="1" applyFill="1" applyBorder="1" applyAlignment="1">
      <alignment horizontal="right" wrapText="1"/>
    </xf>
    <xf numFmtId="165" fontId="36" fillId="30" borderId="3" xfId="1" applyNumberFormat="1" applyFont="1" applyFill="1" applyBorder="1" applyAlignment="1">
      <alignment horizontal="left" wrapText="1"/>
    </xf>
    <xf numFmtId="165" fontId="73" fillId="48" borderId="3" xfId="1" applyNumberFormat="1" applyFont="1" applyFill="1" applyBorder="1" applyAlignment="1">
      <alignment horizontal="right" wrapText="1"/>
    </xf>
    <xf numFmtId="165" fontId="82" fillId="48" borderId="3" xfId="1" applyNumberFormat="1" applyFont="1" applyFill="1" applyBorder="1" applyAlignment="1">
      <alignment horizontal="left" wrapText="1"/>
    </xf>
    <xf numFmtId="165" fontId="82" fillId="51" borderId="19" xfId="1" applyNumberFormat="1" applyFont="1" applyFill="1" applyBorder="1" applyAlignment="1">
      <alignment horizontal="left" wrapText="1"/>
    </xf>
    <xf numFmtId="165" fontId="83" fillId="48" borderId="109" xfId="1" applyNumberFormat="1" applyFont="1" applyFill="1" applyBorder="1" applyAlignment="1">
      <alignment horizontal="right" wrapText="1"/>
    </xf>
    <xf numFmtId="165" fontId="83" fillId="48" borderId="3" xfId="1" applyNumberFormat="1" applyFont="1" applyFill="1" applyBorder="1" applyAlignment="1">
      <alignment horizontal="right" wrapText="1"/>
    </xf>
    <xf numFmtId="165" fontId="80" fillId="0" borderId="3" xfId="1" applyNumberFormat="1" applyFont="1" applyBorder="1"/>
    <xf numFmtId="165" fontId="85" fillId="48" borderId="109" xfId="1" applyNumberFormat="1" applyFont="1" applyFill="1" applyBorder="1" applyAlignment="1">
      <alignment horizontal="left" wrapText="1"/>
    </xf>
    <xf numFmtId="165" fontId="85" fillId="48" borderId="3" xfId="1" applyNumberFormat="1" applyFont="1" applyFill="1" applyBorder="1" applyAlignment="1">
      <alignment horizontal="left" wrapText="1"/>
    </xf>
    <xf numFmtId="165" fontId="85" fillId="48" borderId="3" xfId="1" applyNumberFormat="1" applyFont="1" applyFill="1" applyBorder="1" applyAlignment="1">
      <alignment horizontal="left" wrapText="1" indent="1"/>
    </xf>
    <xf numFmtId="165" fontId="80" fillId="3" borderId="3" xfId="1" applyNumberFormat="1" applyFont="1" applyFill="1" applyBorder="1"/>
    <xf numFmtId="165" fontId="80" fillId="48" borderId="3" xfId="1" applyNumberFormat="1" applyFont="1" applyFill="1" applyBorder="1"/>
    <xf numFmtId="165" fontId="0" fillId="0" borderId="3" xfId="1" applyNumberFormat="1" applyFont="1" applyBorder="1"/>
    <xf numFmtId="165" fontId="7" fillId="3" borderId="3" xfId="40" applyNumberFormat="1" applyFill="1" applyBorder="1"/>
    <xf numFmtId="165" fontId="6" fillId="3" borderId="3" xfId="40" applyNumberFormat="1" applyFont="1" applyFill="1" applyBorder="1"/>
    <xf numFmtId="165" fontId="36" fillId="30" borderId="109" xfId="1" applyNumberFormat="1" applyFont="1" applyFill="1" applyBorder="1" applyAlignment="1">
      <alignment horizontal="left" wrapText="1"/>
    </xf>
    <xf numFmtId="165" fontId="73" fillId="48" borderId="74" xfId="1" applyNumberFormat="1" applyFont="1" applyFill="1" applyBorder="1" applyAlignment="1">
      <alignment horizontal="right" wrapText="1"/>
    </xf>
    <xf numFmtId="165" fontId="37" fillId="6" borderId="30" xfId="1" applyNumberFormat="1" applyFont="1" applyFill="1" applyBorder="1" applyAlignment="1">
      <alignment vertical="center" wrapText="1"/>
    </xf>
    <xf numFmtId="175" fontId="69" fillId="6" borderId="3" xfId="1" applyNumberFormat="1" applyFont="1" applyFill="1" applyBorder="1" applyAlignment="1">
      <alignment horizontal="right" vertical="center" wrapText="1"/>
    </xf>
    <xf numFmtId="165" fontId="80" fillId="6" borderId="3" xfId="1" applyNumberFormat="1" applyFont="1" applyFill="1" applyBorder="1"/>
    <xf numFmtId="165" fontId="0" fillId="6" borderId="3" xfId="1" applyNumberFormat="1" applyFont="1" applyFill="1" applyBorder="1"/>
    <xf numFmtId="176" fontId="154" fillId="0" borderId="0" xfId="2" applyNumberFormat="1" applyFont="1" applyAlignment="1">
      <alignment vertical="center"/>
    </xf>
    <xf numFmtId="165" fontId="78" fillId="0" borderId="0" xfId="2" applyNumberFormat="1" applyFont="1" applyAlignment="1">
      <alignment vertical="center"/>
    </xf>
    <xf numFmtId="165" fontId="0" fillId="0" borderId="58" xfId="1" applyNumberFormat="1" applyFont="1" applyBorder="1"/>
    <xf numFmtId="165" fontId="80" fillId="50" borderId="3" xfId="1" applyNumberFormat="1" applyFont="1" applyFill="1" applyBorder="1"/>
    <xf numFmtId="49" fontId="37" fillId="3" borderId="49" xfId="40" applyNumberFormat="1" applyFont="1" applyFill="1" applyBorder="1" applyAlignment="1">
      <alignment horizontal="left" vertical="center" wrapText="1"/>
    </xf>
    <xf numFmtId="49" fontId="37" fillId="3" borderId="51" xfId="40" applyNumberFormat="1" applyFont="1" applyFill="1" applyBorder="1" applyAlignment="1">
      <alignment horizontal="left" vertical="center" wrapText="1"/>
    </xf>
    <xf numFmtId="165" fontId="0" fillId="0" borderId="61" xfId="1" applyNumberFormat="1" applyFont="1" applyBorder="1"/>
    <xf numFmtId="49" fontId="37" fillId="3" borderId="59" xfId="40" applyNumberFormat="1" applyFont="1" applyFill="1" applyBorder="1" applyAlignment="1">
      <alignment horizontal="left" vertical="center" wrapText="1"/>
    </xf>
    <xf numFmtId="49" fontId="37" fillId="3" borderId="38" xfId="40" applyNumberFormat="1" applyFont="1" applyFill="1" applyBorder="1" applyAlignment="1">
      <alignment horizontal="left" vertical="center" wrapText="1"/>
    </xf>
    <xf numFmtId="165" fontId="73" fillId="30" borderId="61" xfId="1" applyNumberFormat="1" applyFont="1" applyFill="1" applyBorder="1" applyAlignment="1">
      <alignment horizontal="left" wrapText="1"/>
    </xf>
    <xf numFmtId="49" fontId="74" fillId="3" borderId="25" xfId="40" applyNumberFormat="1" applyFont="1" applyFill="1" applyBorder="1" applyAlignment="1">
      <alignment vertical="center" wrapText="1"/>
    </xf>
    <xf numFmtId="49" fontId="74" fillId="3" borderId="26" xfId="40" applyNumberFormat="1" applyFont="1" applyFill="1" applyBorder="1" applyAlignment="1">
      <alignment vertical="center" wrapText="1"/>
    </xf>
    <xf numFmtId="49" fontId="74" fillId="3" borderId="88" xfId="40" applyNumberFormat="1" applyFont="1" applyFill="1" applyBorder="1" applyAlignment="1">
      <alignment vertical="center" wrapText="1"/>
    </xf>
    <xf numFmtId="43" fontId="80" fillId="48" borderId="0" xfId="55" applyNumberFormat="1" applyFont="1" applyFill="1"/>
    <xf numFmtId="177" fontId="73" fillId="30" borderId="76" xfId="1" applyNumberFormat="1" applyFont="1" applyFill="1" applyBorder="1" applyAlignment="1">
      <alignment horizontal="left" wrapText="1"/>
    </xf>
    <xf numFmtId="165" fontId="80" fillId="48" borderId="0" xfId="55" applyNumberFormat="1" applyFont="1" applyFill="1"/>
    <xf numFmtId="43" fontId="154" fillId="0" borderId="0" xfId="2" applyNumberFormat="1" applyFont="1" applyAlignment="1">
      <alignment vertical="center"/>
    </xf>
    <xf numFmtId="43" fontId="80" fillId="3" borderId="0" xfId="55" applyNumberFormat="1" applyFont="1" applyFill="1"/>
    <xf numFmtId="165" fontId="84" fillId="3" borderId="3" xfId="1" applyNumberFormat="1" applyFont="1" applyFill="1" applyBorder="1" applyAlignment="1">
      <alignment horizontal="right" vertical="center" wrapText="1"/>
    </xf>
    <xf numFmtId="175" fontId="141" fillId="3" borderId="3" xfId="65" applyNumberFormat="1" applyFont="1" applyFill="1" applyBorder="1" applyAlignment="1">
      <alignment horizontal="right" vertical="center"/>
    </xf>
    <xf numFmtId="165" fontId="15" fillId="29" borderId="3" xfId="1" applyNumberFormat="1" applyFont="1" applyFill="1" applyBorder="1" applyAlignment="1">
      <alignment horizontal="left" vertical="center"/>
    </xf>
    <xf numFmtId="165" fontId="15" fillId="29" borderId="43" xfId="1" applyNumberFormat="1" applyFont="1" applyFill="1" applyBorder="1" applyAlignment="1">
      <alignment vertical="center"/>
    </xf>
    <xf numFmtId="49" fontId="71" fillId="42" borderId="19" xfId="2" applyNumberFormat="1" applyFont="1" applyFill="1" applyBorder="1" applyAlignment="1">
      <alignment vertical="center" wrapText="1"/>
    </xf>
    <xf numFmtId="49" fontId="71" fillId="42" borderId="20" xfId="2" applyNumberFormat="1" applyFont="1" applyFill="1" applyBorder="1" applyAlignment="1">
      <alignment vertical="center" wrapText="1"/>
    </xf>
    <xf numFmtId="49" fontId="71" fillId="42" borderId="21" xfId="2" applyNumberFormat="1" applyFont="1" applyFill="1" applyBorder="1" applyAlignment="1">
      <alignment vertical="center" wrapText="1"/>
    </xf>
    <xf numFmtId="49" fontId="71" fillId="42" borderId="29" xfId="2" applyNumberFormat="1" applyFont="1" applyFill="1" applyBorder="1" applyAlignment="1">
      <alignment vertical="center" wrapText="1"/>
    </xf>
    <xf numFmtId="49" fontId="71" fillId="42" borderId="0" xfId="2" applyNumberFormat="1" applyFont="1" applyFill="1" applyBorder="1" applyAlignment="1">
      <alignment vertical="center" wrapText="1"/>
    </xf>
    <xf numFmtId="49" fontId="71" fillId="42" borderId="90" xfId="2" applyNumberFormat="1" applyFont="1" applyFill="1" applyBorder="1" applyAlignment="1">
      <alignment vertical="center" wrapText="1"/>
    </xf>
    <xf numFmtId="49" fontId="71" fillId="0" borderId="19" xfId="2" applyNumberFormat="1" applyFont="1" applyFill="1" applyBorder="1" applyAlignment="1">
      <alignment vertical="center" wrapText="1"/>
    </xf>
    <xf numFmtId="49" fontId="71" fillId="0" borderId="20" xfId="2" applyNumberFormat="1" applyFont="1" applyFill="1" applyBorder="1" applyAlignment="1">
      <alignment vertical="center" wrapText="1"/>
    </xf>
    <xf numFmtId="49" fontId="71" fillId="0" borderId="21" xfId="2" applyNumberFormat="1" applyFont="1" applyFill="1" applyBorder="1" applyAlignment="1">
      <alignment vertical="center" wrapText="1"/>
    </xf>
    <xf numFmtId="0" fontId="22" fillId="29" borderId="3" xfId="2" applyFont="1" applyFill="1" applyBorder="1"/>
    <xf numFmtId="165" fontId="38" fillId="29" borderId="3" xfId="1" applyNumberFormat="1" applyFont="1" applyFill="1" applyBorder="1" applyAlignment="1">
      <alignment vertical="center"/>
    </xf>
    <xf numFmtId="165" fontId="7" fillId="3" borderId="3" xfId="1" applyNumberFormat="1" applyFont="1" applyFill="1" applyBorder="1"/>
    <xf numFmtId="165" fontId="22" fillId="0" borderId="0" xfId="2" applyNumberFormat="1" applyFont="1" applyAlignment="1">
      <alignment vertical="center"/>
    </xf>
    <xf numFmtId="165" fontId="69" fillId="3" borderId="39" xfId="1" applyNumberFormat="1" applyFont="1" applyFill="1" applyBorder="1" applyAlignment="1">
      <alignment horizontal="right" wrapText="1"/>
    </xf>
    <xf numFmtId="165" fontId="80" fillId="0" borderId="58" xfId="1" applyNumberFormat="1" applyFont="1" applyBorder="1"/>
    <xf numFmtId="165" fontId="73" fillId="48" borderId="2" xfId="1" applyNumberFormat="1" applyFont="1" applyFill="1" applyBorder="1" applyAlignment="1">
      <alignment horizontal="right" wrapText="1"/>
    </xf>
    <xf numFmtId="165" fontId="73" fillId="48" borderId="61" xfId="1" applyNumberFormat="1" applyFont="1" applyFill="1" applyBorder="1" applyAlignment="1">
      <alignment horizontal="right" wrapText="1"/>
    </xf>
    <xf numFmtId="165" fontId="73" fillId="48" borderId="51" xfId="1" applyNumberFormat="1" applyFont="1" applyFill="1" applyBorder="1" applyAlignment="1">
      <alignment horizontal="right" wrapText="1"/>
    </xf>
    <xf numFmtId="165" fontId="73" fillId="48" borderId="52" xfId="1" applyNumberFormat="1" applyFont="1" applyFill="1" applyBorder="1" applyAlignment="1">
      <alignment horizontal="right" wrapText="1"/>
    </xf>
    <xf numFmtId="165" fontId="69" fillId="0" borderId="108" xfId="1" applyNumberFormat="1" applyFont="1" applyBorder="1" applyAlignment="1">
      <alignment horizontal="right" wrapText="1"/>
    </xf>
    <xf numFmtId="165" fontId="69" fillId="0" borderId="38" xfId="1" applyNumberFormat="1" applyFont="1" applyBorder="1" applyAlignment="1">
      <alignment horizontal="right" wrapText="1"/>
    </xf>
    <xf numFmtId="165" fontId="69" fillId="3" borderId="52" xfId="1" applyNumberFormat="1" applyFont="1" applyFill="1" applyBorder="1" applyAlignment="1">
      <alignment horizontal="right" wrapText="1"/>
    </xf>
    <xf numFmtId="49" fontId="22" fillId="5" borderId="38" xfId="0" applyNumberFormat="1" applyFont="1" applyFill="1" applyBorder="1" applyAlignment="1">
      <alignment horizontal="left" vertical="center" wrapText="1"/>
    </xf>
    <xf numFmtId="49" fontId="76" fillId="48" borderId="1" xfId="0" applyNumberFormat="1" applyFont="1" applyFill="1" applyBorder="1" applyAlignment="1">
      <alignment horizontal="left" vertical="center" wrapText="1"/>
    </xf>
    <xf numFmtId="49" fontId="76" fillId="48" borderId="2" xfId="0" applyNumberFormat="1" applyFont="1" applyFill="1" applyBorder="1" applyAlignment="1">
      <alignment horizontal="left" vertical="center" wrapText="1"/>
    </xf>
    <xf numFmtId="165" fontId="85" fillId="48" borderId="2" xfId="1" applyNumberFormat="1" applyFont="1" applyFill="1" applyBorder="1" applyAlignment="1">
      <alignment horizontal="left"/>
    </xf>
    <xf numFmtId="165" fontId="85" fillId="48" borderId="112" xfId="1" applyNumberFormat="1" applyFont="1" applyFill="1" applyBorder="1" applyAlignment="1">
      <alignment horizontal="left"/>
    </xf>
    <xf numFmtId="165" fontId="85" fillId="48" borderId="61" xfId="1" applyNumberFormat="1" applyFont="1" applyFill="1" applyBorder="1" applyAlignment="1">
      <alignment horizontal="left"/>
    </xf>
    <xf numFmtId="49" fontId="76" fillId="48" borderId="59" xfId="0" applyNumberFormat="1" applyFont="1" applyFill="1" applyBorder="1" applyAlignment="1">
      <alignment horizontal="left" vertical="center" wrapText="1"/>
    </xf>
    <xf numFmtId="49" fontId="76" fillId="48" borderId="38" xfId="0" applyNumberFormat="1" applyFont="1" applyFill="1" applyBorder="1" applyAlignment="1">
      <alignment horizontal="left" vertical="center" wrapText="1"/>
    </xf>
    <xf numFmtId="165" fontId="85" fillId="48" borderId="38" xfId="1" applyNumberFormat="1" applyFont="1" applyFill="1" applyBorder="1" applyAlignment="1">
      <alignment horizontal="left" wrapText="1"/>
    </xf>
    <xf numFmtId="165" fontId="85" fillId="48" borderId="108" xfId="1" applyNumberFormat="1" applyFont="1" applyFill="1" applyBorder="1" applyAlignment="1">
      <alignment horizontal="left" wrapText="1"/>
    </xf>
    <xf numFmtId="165" fontId="85" fillId="48" borderId="58" xfId="1" applyNumberFormat="1" applyFont="1" applyFill="1" applyBorder="1" applyAlignment="1">
      <alignment horizontal="left" wrapText="1"/>
    </xf>
    <xf numFmtId="49" fontId="76" fillId="48" borderId="75" xfId="0" applyNumberFormat="1" applyFont="1" applyFill="1" applyBorder="1" applyAlignment="1">
      <alignment horizontal="left" vertical="center" wrapText="1"/>
    </xf>
    <xf numFmtId="49" fontId="76" fillId="48" borderId="76" xfId="0" applyNumberFormat="1" applyFont="1" applyFill="1" applyBorder="1" applyAlignment="1">
      <alignment horizontal="left" vertical="center" wrapText="1"/>
    </xf>
    <xf numFmtId="165" fontId="85" fillId="48" borderId="76" xfId="1" applyNumberFormat="1" applyFont="1" applyFill="1" applyBorder="1" applyAlignment="1">
      <alignment horizontal="left" wrapText="1"/>
    </xf>
    <xf numFmtId="165" fontId="85" fillId="48" borderId="111" xfId="1" applyNumberFormat="1" applyFont="1" applyFill="1" applyBorder="1" applyAlignment="1">
      <alignment horizontal="left" wrapText="1"/>
    </xf>
    <xf numFmtId="165" fontId="85" fillId="48" borderId="62" xfId="1" applyNumberFormat="1" applyFont="1" applyFill="1" applyBorder="1" applyAlignment="1">
      <alignment horizontal="left" wrapText="1"/>
    </xf>
    <xf numFmtId="49" fontId="69" fillId="3" borderId="59" xfId="55" applyNumberFormat="1" applyFont="1" applyFill="1" applyBorder="1" applyAlignment="1">
      <alignment horizontal="left" vertical="center" wrapText="1"/>
    </xf>
    <xf numFmtId="49" fontId="69" fillId="3" borderId="38" xfId="55" applyNumberFormat="1" applyFont="1" applyFill="1" applyBorder="1" applyAlignment="1">
      <alignment horizontal="left" vertical="center" wrapText="1"/>
    </xf>
    <xf numFmtId="165" fontId="80" fillId="3" borderId="58" xfId="1" applyNumberFormat="1" applyFont="1" applyFill="1" applyBorder="1"/>
    <xf numFmtId="49" fontId="76" fillId="48" borderId="49" xfId="0" applyNumberFormat="1" applyFont="1" applyFill="1" applyBorder="1" applyAlignment="1">
      <alignment horizontal="left" vertical="center" wrapText="1"/>
    </xf>
    <xf numFmtId="49" fontId="76" fillId="48" borderId="51" xfId="0" applyNumberFormat="1" applyFont="1" applyFill="1" applyBorder="1" applyAlignment="1">
      <alignment horizontal="left" vertical="center" wrapText="1"/>
    </xf>
    <xf numFmtId="165" fontId="85" fillId="48" borderId="51" xfId="1" applyNumberFormat="1" applyFont="1" applyFill="1" applyBorder="1" applyAlignment="1">
      <alignment horizontal="left" wrapText="1"/>
    </xf>
    <xf numFmtId="165" fontId="85" fillId="48" borderId="110" xfId="1" applyNumberFormat="1" applyFont="1" applyFill="1" applyBorder="1" applyAlignment="1">
      <alignment horizontal="left" wrapText="1"/>
    </xf>
    <xf numFmtId="165" fontId="85" fillId="48" borderId="61" xfId="1" applyNumberFormat="1" applyFont="1" applyFill="1" applyBorder="1" applyAlignment="1">
      <alignment horizontal="left" wrapText="1"/>
    </xf>
    <xf numFmtId="49" fontId="69" fillId="3" borderId="49" xfId="55" applyNumberFormat="1" applyFont="1" applyFill="1" applyBorder="1" applyAlignment="1">
      <alignment horizontal="left" vertical="center" wrapText="1"/>
    </xf>
    <xf numFmtId="49" fontId="69" fillId="3" borderId="51" xfId="55" applyNumberFormat="1" applyFont="1" applyFill="1" applyBorder="1" applyAlignment="1">
      <alignment horizontal="left" vertical="center" wrapText="1"/>
    </xf>
    <xf numFmtId="165" fontId="80" fillId="3" borderId="61" xfId="1" applyNumberFormat="1" applyFont="1" applyFill="1" applyBorder="1"/>
    <xf numFmtId="165" fontId="80" fillId="48" borderId="58" xfId="1" applyNumberFormat="1" applyFont="1" applyFill="1" applyBorder="1"/>
    <xf numFmtId="49" fontId="69" fillId="0" borderId="3" xfId="55" applyNumberFormat="1" applyFont="1" applyFill="1" applyBorder="1" applyAlignment="1">
      <alignment horizontal="left" vertical="center" wrapText="1"/>
    </xf>
    <xf numFmtId="165" fontId="85" fillId="48" borderId="38" xfId="1" applyNumberFormat="1" applyFont="1" applyFill="1" applyBorder="1" applyAlignment="1">
      <alignment horizontal="left" wrapText="1" indent="1"/>
    </xf>
    <xf numFmtId="165" fontId="85" fillId="48" borderId="108" xfId="1" applyNumberFormat="1" applyFont="1" applyFill="1" applyBorder="1" applyAlignment="1">
      <alignment horizontal="left" wrapText="1" indent="1"/>
    </xf>
    <xf numFmtId="165" fontId="85" fillId="48" borderId="58" xfId="1" applyNumberFormat="1" applyFont="1" applyFill="1" applyBorder="1" applyAlignment="1">
      <alignment horizontal="left" wrapText="1" indent="1"/>
    </xf>
    <xf numFmtId="49" fontId="9" fillId="3" borderId="3" xfId="55" applyNumberFormat="1" applyFont="1" applyFill="1" applyBorder="1" applyAlignment="1">
      <alignment horizontal="left" vertical="center" wrapText="1"/>
    </xf>
    <xf numFmtId="165" fontId="85" fillId="48" borderId="51" xfId="1" applyNumberFormat="1" applyFont="1" applyFill="1" applyBorder="1" applyAlignment="1">
      <alignment horizontal="left" wrapText="1" indent="1"/>
    </xf>
    <xf numFmtId="165" fontId="85" fillId="48" borderId="110" xfId="1" applyNumberFormat="1" applyFont="1" applyFill="1" applyBorder="1" applyAlignment="1">
      <alignment horizontal="left" wrapText="1" indent="1"/>
    </xf>
    <xf numFmtId="165" fontId="85" fillId="48" borderId="61" xfId="1" applyNumberFormat="1" applyFont="1" applyFill="1" applyBorder="1" applyAlignment="1">
      <alignment horizontal="left" wrapText="1" indent="1"/>
    </xf>
    <xf numFmtId="165" fontId="85" fillId="48" borderId="76" xfId="1" applyNumberFormat="1" applyFont="1" applyFill="1" applyBorder="1" applyAlignment="1">
      <alignment horizontal="left" wrapText="1" indent="1"/>
    </xf>
    <xf numFmtId="165" fontId="85" fillId="48" borderId="111" xfId="1" applyNumberFormat="1" applyFont="1" applyFill="1" applyBorder="1" applyAlignment="1">
      <alignment horizontal="left" wrapText="1" indent="1"/>
    </xf>
    <xf numFmtId="165" fontId="85" fillId="48" borderId="62" xfId="1" applyNumberFormat="1" applyFont="1" applyFill="1" applyBorder="1" applyAlignment="1">
      <alignment horizontal="left" wrapText="1" indent="1"/>
    </xf>
    <xf numFmtId="49" fontId="69" fillId="6" borderId="3" xfId="55" applyNumberFormat="1" applyFont="1" applyFill="1" applyBorder="1" applyAlignment="1">
      <alignment horizontal="left" vertical="center" wrapText="1"/>
    </xf>
    <xf numFmtId="165" fontId="69" fillId="50" borderId="3" xfId="1" applyNumberFormat="1" applyFont="1" applyFill="1" applyBorder="1" applyAlignment="1">
      <alignment horizontal="right" wrapText="1"/>
    </xf>
    <xf numFmtId="165" fontId="0" fillId="3" borderId="3" xfId="1" applyNumberFormat="1" applyFont="1" applyFill="1" applyBorder="1"/>
    <xf numFmtId="165" fontId="82" fillId="51" borderId="51" xfId="1" applyNumberFormat="1" applyFont="1" applyFill="1" applyBorder="1" applyAlignment="1">
      <alignment horizontal="left" wrapText="1"/>
    </xf>
    <xf numFmtId="165" fontId="82" fillId="51" borderId="52" xfId="1" applyNumberFormat="1" applyFont="1" applyFill="1" applyBorder="1" applyAlignment="1">
      <alignment horizontal="left" wrapText="1"/>
    </xf>
    <xf numFmtId="165" fontId="82" fillId="51" borderId="61" xfId="1" applyNumberFormat="1" applyFont="1" applyFill="1" applyBorder="1" applyAlignment="1">
      <alignment horizontal="left" wrapText="1"/>
    </xf>
    <xf numFmtId="165" fontId="83" fillId="48" borderId="54" xfId="1" applyNumberFormat="1" applyFont="1" applyFill="1" applyBorder="1" applyAlignment="1">
      <alignment horizontal="right" wrapText="1"/>
    </xf>
    <xf numFmtId="165" fontId="83" fillId="48" borderId="55" xfId="1" applyNumberFormat="1" applyFont="1" applyFill="1" applyBorder="1" applyAlignment="1">
      <alignment horizontal="right" wrapText="1"/>
    </xf>
    <xf numFmtId="49" fontId="22" fillId="5" borderId="3" xfId="0" applyNumberFormat="1" applyFont="1" applyFill="1" applyBorder="1" applyAlignment="1">
      <alignment horizontal="left" vertical="center" wrapText="1"/>
    </xf>
    <xf numFmtId="49" fontId="69" fillId="3" borderId="59" xfId="40" applyNumberFormat="1" applyFont="1" applyFill="1" applyBorder="1" applyAlignment="1">
      <alignment horizontal="left" vertical="center" wrapText="1"/>
    </xf>
    <xf numFmtId="49" fontId="16" fillId="3" borderId="38" xfId="40" applyNumberFormat="1" applyFont="1" applyFill="1" applyBorder="1" applyAlignment="1">
      <alignment horizontal="left" vertical="center" wrapText="1"/>
    </xf>
    <xf numFmtId="49" fontId="69" fillId="3" borderId="49" xfId="55" applyNumberFormat="1" applyFont="1" applyFill="1" applyBorder="1" applyAlignment="1">
      <alignment vertical="center" wrapText="1"/>
    </xf>
    <xf numFmtId="165" fontId="141" fillId="48" borderId="62" xfId="1" applyNumberFormat="1" applyFont="1" applyFill="1" applyBorder="1" applyAlignment="1">
      <alignment horizontal="left" wrapText="1" indent="1"/>
    </xf>
    <xf numFmtId="164" fontId="22" fillId="0" borderId="0" xfId="1" applyNumberFormat="1" applyFont="1" applyAlignment="1">
      <alignment vertical="center"/>
    </xf>
    <xf numFmtId="165" fontId="73" fillId="48" borderId="0" xfId="1" applyNumberFormat="1" applyFont="1" applyFill="1" applyBorder="1" applyAlignment="1">
      <alignment horizontal="right" wrapText="1"/>
    </xf>
    <xf numFmtId="0" fontId="130" fillId="0" borderId="0" xfId="50" applyFont="1" applyAlignment="1">
      <alignment horizontal="right" vertical="center"/>
    </xf>
    <xf numFmtId="0" fontId="112" fillId="3" borderId="19" xfId="50" applyFont="1" applyFill="1" applyBorder="1" applyAlignment="1">
      <alignment horizontal="center" vertical="center"/>
    </xf>
    <xf numFmtId="0" fontId="112" fillId="3" borderId="20" xfId="50" applyFont="1" applyFill="1" applyBorder="1" applyAlignment="1">
      <alignment horizontal="center" vertical="center"/>
    </xf>
    <xf numFmtId="0" fontId="112" fillId="3" borderId="21" xfId="50" applyFont="1" applyFill="1" applyBorder="1" applyAlignment="1">
      <alignment horizontal="center" vertical="center"/>
    </xf>
    <xf numFmtId="0" fontId="112" fillId="3" borderId="19" xfId="50" applyFont="1" applyFill="1" applyBorder="1" applyAlignment="1">
      <alignment horizontal="left" vertical="center"/>
    </xf>
    <xf numFmtId="0" fontId="112" fillId="3" borderId="20" xfId="50" applyFont="1" applyFill="1" applyBorder="1" applyAlignment="1">
      <alignment horizontal="left" vertical="center"/>
    </xf>
    <xf numFmtId="0" fontId="112" fillId="3" borderId="21" xfId="50" applyFont="1" applyFill="1" applyBorder="1" applyAlignment="1">
      <alignment horizontal="left" vertical="center"/>
    </xf>
    <xf numFmtId="0" fontId="131" fillId="0" borderId="22" xfId="50" applyFont="1" applyBorder="1" applyAlignment="1">
      <alignment horizontal="center" vertical="center"/>
    </xf>
    <xf numFmtId="0" fontId="131" fillId="0" borderId="23" xfId="50" applyFont="1" applyBorder="1" applyAlignment="1">
      <alignment horizontal="center" vertical="center"/>
    </xf>
    <xf numFmtId="0" fontId="131" fillId="0" borderId="24" xfId="50" applyFont="1" applyBorder="1" applyAlignment="1">
      <alignment horizontal="center" vertical="center"/>
    </xf>
    <xf numFmtId="0" fontId="112" fillId="0" borderId="25" xfId="50" applyFont="1" applyBorder="1" applyAlignment="1">
      <alignment horizontal="left" vertical="center"/>
    </xf>
    <xf numFmtId="0" fontId="112" fillId="0" borderId="26" xfId="50" applyFont="1" applyBorder="1" applyAlignment="1">
      <alignment horizontal="left" vertical="center"/>
    </xf>
    <xf numFmtId="0" fontId="112" fillId="0" borderId="88" xfId="50" applyFont="1" applyBorder="1" applyAlignment="1">
      <alignment horizontal="left" vertical="center"/>
    </xf>
    <xf numFmtId="0" fontId="131" fillId="0" borderId="25" xfId="50" applyFont="1" applyBorder="1" applyAlignment="1">
      <alignment horizontal="center" vertical="center"/>
    </xf>
    <xf numFmtId="0" fontId="131" fillId="0" borderId="26" xfId="50" applyFont="1" applyBorder="1" applyAlignment="1">
      <alignment horizontal="center" vertical="center"/>
    </xf>
    <xf numFmtId="0" fontId="131" fillId="0" borderId="88" xfId="50" applyFont="1" applyBorder="1" applyAlignment="1">
      <alignment horizontal="center" vertical="center"/>
    </xf>
    <xf numFmtId="0" fontId="128" fillId="2" borderId="0" xfId="2" applyFont="1" applyFill="1" applyAlignment="1">
      <alignment horizontal="center" vertical="center" wrapText="1"/>
    </xf>
    <xf numFmtId="0" fontId="13" fillId="48" borderId="3" xfId="2" applyFont="1" applyFill="1" applyBorder="1" applyAlignment="1">
      <alignment horizontal="center" vertical="center" wrapText="1"/>
    </xf>
    <xf numFmtId="0" fontId="156" fillId="2" borderId="0" xfId="2" applyFont="1" applyFill="1" applyAlignment="1">
      <alignment horizontal="center" vertical="center" wrapText="1"/>
    </xf>
    <xf numFmtId="49" fontId="73" fillId="48" borderId="3" xfId="2" applyNumberFormat="1" applyFont="1" applyFill="1" applyBorder="1" applyAlignment="1">
      <alignment vertical="center" wrapText="1"/>
    </xf>
    <xf numFmtId="49" fontId="76" fillId="51" borderId="3" xfId="2" applyNumberFormat="1" applyFont="1" applyFill="1" applyBorder="1" applyAlignment="1">
      <alignment horizontal="left" vertical="center" wrapText="1"/>
    </xf>
    <xf numFmtId="49" fontId="73" fillId="0" borderId="34" xfId="2" applyNumberFormat="1" applyFont="1" applyFill="1" applyBorder="1" applyAlignment="1">
      <alignment horizontal="left" vertical="center" wrapText="1"/>
    </xf>
    <xf numFmtId="49" fontId="73" fillId="0" borderId="35" xfId="2" applyNumberFormat="1" applyFont="1" applyFill="1" applyBorder="1" applyAlignment="1">
      <alignment horizontal="left" vertical="center" wrapText="1"/>
    </xf>
    <xf numFmtId="0" fontId="84" fillId="48" borderId="3" xfId="2" applyFont="1" applyFill="1" applyBorder="1" applyAlignment="1">
      <alignment horizontal="center" vertical="center" wrapText="1"/>
    </xf>
    <xf numFmtId="0" fontId="15" fillId="48" borderId="3" xfId="2" applyFont="1" applyFill="1" applyBorder="1" applyAlignment="1">
      <alignment horizontal="center" vertical="center" wrapText="1"/>
    </xf>
    <xf numFmtId="49" fontId="73" fillId="0" borderId="73" xfId="2" applyNumberFormat="1" applyFont="1" applyFill="1" applyBorder="1" applyAlignment="1">
      <alignment horizontal="center" vertical="center" wrapText="1"/>
    </xf>
    <xf numFmtId="49" fontId="73" fillId="0" borderId="60" xfId="2" applyNumberFormat="1" applyFont="1" applyFill="1" applyBorder="1" applyAlignment="1">
      <alignment horizontal="center" vertical="center" wrapText="1"/>
    </xf>
    <xf numFmtId="49" fontId="73" fillId="0" borderId="89" xfId="2" applyNumberFormat="1" applyFont="1" applyFill="1" applyBorder="1" applyAlignment="1">
      <alignment horizontal="center" vertical="center" wrapText="1"/>
    </xf>
    <xf numFmtId="49" fontId="71" fillId="51" borderId="3" xfId="2" applyNumberFormat="1" applyFont="1" applyFill="1" applyBorder="1" applyAlignment="1">
      <alignment horizontal="left" vertical="center" wrapText="1"/>
    </xf>
    <xf numFmtId="0" fontId="148" fillId="0" borderId="0" xfId="0" applyFont="1" applyAlignment="1">
      <alignment horizontal="center" vertical="center" wrapText="1"/>
    </xf>
    <xf numFmtId="0" fontId="148" fillId="0" borderId="0" xfId="0" applyFont="1" applyAlignment="1">
      <alignment horizontal="center" vertical="center"/>
    </xf>
    <xf numFmtId="49" fontId="71" fillId="5" borderId="3" xfId="2" applyNumberFormat="1" applyFont="1" applyFill="1" applyBorder="1" applyAlignment="1">
      <alignment horizontal="left" vertical="center" wrapText="1"/>
    </xf>
    <xf numFmtId="49" fontId="71" fillId="30" borderId="3" xfId="2" applyNumberFormat="1" applyFont="1" applyFill="1" applyBorder="1" applyAlignment="1">
      <alignment horizontal="left" vertical="center" wrapText="1"/>
    </xf>
    <xf numFmtId="49" fontId="73" fillId="0" borderId="3" xfId="2" applyNumberFormat="1" applyFont="1" applyFill="1" applyBorder="1" applyAlignment="1">
      <alignment horizontal="center" vertical="center" wrapText="1"/>
    </xf>
    <xf numFmtId="49" fontId="71" fillId="51" borderId="19" xfId="2" applyNumberFormat="1" applyFont="1" applyFill="1" applyBorder="1" applyAlignment="1">
      <alignment horizontal="left" vertical="center" wrapText="1"/>
    </xf>
    <xf numFmtId="49" fontId="71" fillId="51" borderId="21" xfId="2" applyNumberFormat="1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center" vertical="center" wrapText="1"/>
    </xf>
    <xf numFmtId="0" fontId="15" fillId="48" borderId="19" xfId="2" applyFont="1" applyFill="1" applyBorder="1" applyAlignment="1">
      <alignment horizontal="center" vertical="center" wrapText="1"/>
    </xf>
    <xf numFmtId="0" fontId="15" fillId="48" borderId="20" xfId="2" applyFont="1" applyFill="1" applyBorder="1" applyAlignment="1">
      <alignment horizontal="center" vertical="center" wrapText="1"/>
    </xf>
    <xf numFmtId="0" fontId="15" fillId="48" borderId="21" xfId="2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4" fillId="0" borderId="20" xfId="0" applyFont="1" applyBorder="1" applyAlignment="1">
      <alignment horizontal="center"/>
    </xf>
    <xf numFmtId="0" fontId="96" fillId="2" borderId="0" xfId="2" applyFont="1" applyFill="1" applyBorder="1" applyAlignment="1">
      <alignment horizontal="left"/>
    </xf>
    <xf numFmtId="0" fontId="104" fillId="0" borderId="0" xfId="0" applyFont="1" applyBorder="1" applyAlignment="1">
      <alignment horizontal="center"/>
    </xf>
    <xf numFmtId="0" fontId="145" fillId="53" borderId="3" xfId="0" applyFont="1" applyFill="1" applyBorder="1" applyAlignment="1">
      <alignment horizontal="center"/>
    </xf>
    <xf numFmtId="0" fontId="105" fillId="53" borderId="3" xfId="0" applyFont="1" applyFill="1" applyBorder="1" applyAlignment="1">
      <alignment horizontal="center"/>
    </xf>
    <xf numFmtId="0" fontId="128" fillId="2" borderId="0" xfId="2" applyFont="1" applyFill="1" applyAlignment="1">
      <alignment horizontal="center" wrapText="1"/>
    </xf>
    <xf numFmtId="0" fontId="128" fillId="2" borderId="0" xfId="2" applyFont="1" applyFill="1" applyAlignment="1">
      <alignment horizontal="center"/>
    </xf>
    <xf numFmtId="0" fontId="71" fillId="4" borderId="3" xfId="0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 wrapText="1"/>
    </xf>
    <xf numFmtId="0" fontId="13" fillId="4" borderId="61" xfId="2" applyFont="1" applyFill="1" applyBorder="1" applyAlignment="1">
      <alignment horizontal="center" vertical="center" wrapText="1"/>
    </xf>
    <xf numFmtId="0" fontId="13" fillId="4" borderId="56" xfId="2" applyFont="1" applyFill="1" applyBorder="1" applyAlignment="1">
      <alignment horizontal="center" vertical="center" wrapText="1"/>
    </xf>
    <xf numFmtId="49" fontId="37" fillId="3" borderId="3" xfId="40" applyNumberFormat="1" applyFont="1" applyFill="1" applyBorder="1" applyAlignment="1">
      <alignment horizontal="center" vertical="center" wrapText="1"/>
    </xf>
    <xf numFmtId="49" fontId="41" fillId="54" borderId="29" xfId="2" applyNumberFormat="1" applyFont="1" applyFill="1" applyBorder="1" applyAlignment="1">
      <alignment horizontal="left" vertical="center" wrapText="1"/>
    </xf>
    <xf numFmtId="49" fontId="41" fillId="54" borderId="26" xfId="2" applyNumberFormat="1" applyFont="1" applyFill="1" applyBorder="1" applyAlignment="1">
      <alignment horizontal="left" vertical="center" wrapText="1"/>
    </xf>
    <xf numFmtId="0" fontId="96" fillId="2" borderId="18" xfId="2" applyFont="1" applyFill="1" applyBorder="1" applyAlignment="1">
      <alignment horizontal="left"/>
    </xf>
    <xf numFmtId="49" fontId="74" fillId="3" borderId="25" xfId="40" applyNumberFormat="1" applyFont="1" applyFill="1" applyBorder="1" applyAlignment="1">
      <alignment horizontal="center" vertical="center" wrapText="1"/>
    </xf>
    <xf numFmtId="49" fontId="74" fillId="3" borderId="26" xfId="40" applyNumberFormat="1" applyFont="1" applyFill="1" applyBorder="1" applyAlignment="1">
      <alignment horizontal="center" vertical="center" wrapText="1"/>
    </xf>
    <xf numFmtId="0" fontId="13" fillId="3" borderId="27" xfId="48" applyFont="1" applyFill="1" applyBorder="1" applyAlignment="1">
      <alignment horizontal="center" vertical="center" wrapText="1"/>
    </xf>
    <xf numFmtId="0" fontId="13" fillId="3" borderId="44" xfId="48" applyFont="1" applyFill="1" applyBorder="1" applyAlignment="1">
      <alignment horizontal="center" vertical="center" wrapText="1"/>
    </xf>
    <xf numFmtId="0" fontId="13" fillId="3" borderId="28" xfId="48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/>
    </xf>
    <xf numFmtId="49" fontId="82" fillId="5" borderId="25" xfId="0" applyNumberFormat="1" applyFont="1" applyFill="1" applyBorder="1" applyAlignment="1">
      <alignment horizontal="center" vertical="center" wrapText="1"/>
    </xf>
    <xf numFmtId="49" fontId="82" fillId="5" borderId="26" xfId="0" applyNumberFormat="1" applyFont="1" applyFill="1" applyBorder="1" applyAlignment="1">
      <alignment horizontal="center" vertical="center" wrapText="1"/>
    </xf>
    <xf numFmtId="49" fontId="82" fillId="5" borderId="88" xfId="0" applyNumberFormat="1" applyFont="1" applyFill="1" applyBorder="1" applyAlignment="1">
      <alignment horizontal="center" vertical="center" wrapText="1"/>
    </xf>
    <xf numFmtId="0" fontId="127" fillId="2" borderId="0" xfId="2" applyFont="1" applyFill="1" applyAlignment="1">
      <alignment horizontal="center"/>
    </xf>
    <xf numFmtId="49" fontId="76" fillId="51" borderId="3" xfId="0" applyNumberFormat="1" applyFont="1" applyFill="1" applyBorder="1" applyAlignment="1">
      <alignment horizontal="left" vertical="center" wrapText="1"/>
    </xf>
    <xf numFmtId="164" fontId="71" fillId="48" borderId="7" xfId="1" applyNumberFormat="1" applyFont="1" applyFill="1" applyBorder="1" applyAlignment="1">
      <alignment horizontal="left" wrapText="1"/>
    </xf>
    <xf numFmtId="164" fontId="71" fillId="48" borderId="8" xfId="1" applyNumberFormat="1" applyFont="1" applyFill="1" applyBorder="1" applyAlignment="1">
      <alignment horizontal="left" wrapText="1"/>
    </xf>
    <xf numFmtId="49" fontId="73" fillId="48" borderId="1" xfId="0" applyNumberFormat="1" applyFont="1" applyFill="1" applyBorder="1" applyAlignment="1">
      <alignment horizontal="left" vertical="center" wrapText="1"/>
    </xf>
    <xf numFmtId="49" fontId="73" fillId="48" borderId="2" xfId="0" applyNumberFormat="1" applyFont="1" applyFill="1" applyBorder="1" applyAlignment="1">
      <alignment horizontal="left" vertical="center" wrapText="1"/>
    </xf>
    <xf numFmtId="49" fontId="73" fillId="48" borderId="49" xfId="0" applyNumberFormat="1" applyFont="1" applyFill="1" applyBorder="1" applyAlignment="1">
      <alignment horizontal="left" vertical="center" wrapText="1"/>
    </xf>
    <xf numFmtId="49" fontId="73" fillId="48" borderId="51" xfId="0" applyNumberFormat="1" applyFont="1" applyFill="1" applyBorder="1" applyAlignment="1">
      <alignment horizontal="left" vertical="center" wrapText="1"/>
    </xf>
    <xf numFmtId="49" fontId="76" fillId="48" borderId="4" xfId="0" applyNumberFormat="1" applyFont="1" applyFill="1" applyBorder="1" applyAlignment="1">
      <alignment horizontal="left" vertical="center" wrapText="1"/>
    </xf>
    <xf numFmtId="49" fontId="76" fillId="48" borderId="5" xfId="0" applyNumberFormat="1" applyFont="1" applyFill="1" applyBorder="1" applyAlignment="1">
      <alignment horizontal="left" vertical="center" wrapText="1"/>
    </xf>
    <xf numFmtId="49" fontId="73" fillId="51" borderId="4" xfId="0" applyNumberFormat="1" applyFont="1" applyFill="1" applyBorder="1" applyAlignment="1">
      <alignment horizontal="left" vertical="center" wrapText="1"/>
    </xf>
    <xf numFmtId="49" fontId="73" fillId="51" borderId="5" xfId="0" applyNumberFormat="1" applyFont="1" applyFill="1" applyBorder="1" applyAlignment="1">
      <alignment horizontal="left" vertical="center" wrapText="1"/>
    </xf>
    <xf numFmtId="49" fontId="86" fillId="51" borderId="3" xfId="0" applyNumberFormat="1" applyFont="1" applyFill="1" applyBorder="1" applyAlignment="1">
      <alignment horizontal="left" vertical="center" wrapText="1"/>
    </xf>
    <xf numFmtId="0" fontId="71" fillId="48" borderId="3" xfId="0" applyFont="1" applyFill="1" applyBorder="1" applyAlignment="1">
      <alignment horizontal="center" vertical="center" wrapText="1"/>
    </xf>
    <xf numFmtId="0" fontId="13" fillId="48" borderId="61" xfId="2" applyFont="1" applyFill="1" applyBorder="1" applyAlignment="1">
      <alignment horizontal="center" vertical="center" wrapText="1"/>
    </xf>
    <xf numFmtId="0" fontId="13" fillId="48" borderId="58" xfId="2" applyFont="1" applyFill="1" applyBorder="1" applyAlignment="1">
      <alignment horizontal="center" vertical="center" wrapText="1"/>
    </xf>
    <xf numFmtId="49" fontId="82" fillId="5" borderId="0" xfId="0" applyNumberFormat="1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 vertical="center" wrapText="1"/>
    </xf>
    <xf numFmtId="49" fontId="82" fillId="3" borderId="4" xfId="0" applyNumberFormat="1" applyFont="1" applyFill="1" applyBorder="1" applyAlignment="1">
      <alignment horizontal="center" vertical="center" wrapText="1"/>
    </xf>
    <xf numFmtId="49" fontId="82" fillId="3" borderId="5" xfId="0" applyNumberFormat="1" applyFont="1" applyFill="1" applyBorder="1" applyAlignment="1">
      <alignment horizontal="center" vertical="center" wrapText="1"/>
    </xf>
    <xf numFmtId="49" fontId="82" fillId="3" borderId="99" xfId="0" applyNumberFormat="1" applyFont="1" applyFill="1" applyBorder="1" applyAlignment="1">
      <alignment horizontal="center" vertical="center" wrapText="1"/>
    </xf>
    <xf numFmtId="0" fontId="127" fillId="2" borderId="0" xfId="54" applyFont="1" applyFill="1" applyAlignment="1">
      <alignment horizontal="center" wrapText="1"/>
    </xf>
    <xf numFmtId="0" fontId="13" fillId="48" borderId="56" xfId="2" applyFont="1" applyFill="1" applyBorder="1" applyAlignment="1">
      <alignment horizontal="center" vertical="center" wrapText="1"/>
    </xf>
    <xf numFmtId="49" fontId="162" fillId="48" borderId="3" xfId="0" applyNumberFormat="1" applyFont="1" applyFill="1" applyBorder="1" applyAlignment="1">
      <alignment horizontal="center" vertical="center" wrapText="1"/>
    </xf>
    <xf numFmtId="0" fontId="162" fillId="48" borderId="19" xfId="54" applyFont="1" applyFill="1" applyBorder="1" applyAlignment="1">
      <alignment horizontal="center" wrapText="1"/>
    </xf>
    <xf numFmtId="0" fontId="162" fillId="48" borderId="20" xfId="54" applyFont="1" applyFill="1" applyBorder="1" applyAlignment="1">
      <alignment horizontal="center" wrapText="1"/>
    </xf>
    <xf numFmtId="0" fontId="162" fillId="48" borderId="21" xfId="54" applyFont="1" applyFill="1" applyBorder="1" applyAlignment="1">
      <alignment horizontal="center" wrapText="1"/>
    </xf>
    <xf numFmtId="49" fontId="162" fillId="51" borderId="19" xfId="0" applyNumberFormat="1" applyFont="1" applyFill="1" applyBorder="1" applyAlignment="1">
      <alignment horizontal="center" vertical="center" wrapText="1"/>
    </xf>
    <xf numFmtId="49" fontId="162" fillId="51" borderId="20" xfId="0" applyNumberFormat="1" applyFont="1" applyFill="1" applyBorder="1" applyAlignment="1">
      <alignment horizontal="center" vertical="center" wrapText="1"/>
    </xf>
    <xf numFmtId="49" fontId="162" fillId="51" borderId="21" xfId="0" applyNumberFormat="1" applyFont="1" applyFill="1" applyBorder="1" applyAlignment="1">
      <alignment horizontal="center" vertical="center" wrapText="1"/>
    </xf>
    <xf numFmtId="0" fontId="13" fillId="48" borderId="62" xfId="2" applyFont="1" applyFill="1" applyBorder="1" applyAlignment="1">
      <alignment horizontal="center" vertical="center" wrapText="1"/>
    </xf>
    <xf numFmtId="0" fontId="96" fillId="2" borderId="0" xfId="2" applyFont="1" applyFill="1" applyBorder="1" applyAlignment="1">
      <alignment horizontal="center"/>
    </xf>
    <xf numFmtId="165" fontId="84" fillId="3" borderId="19" xfId="1" applyNumberFormat="1" applyFont="1" applyFill="1" applyBorder="1" applyAlignment="1">
      <alignment horizontal="left" vertical="center" wrapText="1"/>
    </xf>
    <xf numFmtId="165" fontId="84" fillId="3" borderId="20" xfId="1" applyNumberFormat="1" applyFont="1" applyFill="1" applyBorder="1" applyAlignment="1">
      <alignment horizontal="left" vertical="center" wrapText="1"/>
    </xf>
    <xf numFmtId="165" fontId="84" fillId="3" borderId="21" xfId="1" applyNumberFormat="1" applyFont="1" applyFill="1" applyBorder="1" applyAlignment="1">
      <alignment horizontal="left" vertical="center" wrapText="1"/>
    </xf>
    <xf numFmtId="0" fontId="154" fillId="0" borderId="0" xfId="40" applyFont="1" applyFill="1" applyBorder="1" applyAlignment="1">
      <alignment horizontal="center" vertical="center"/>
    </xf>
    <xf numFmtId="0" fontId="141" fillId="0" borderId="18" xfId="4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 vertical="center" wrapText="1"/>
    </xf>
    <xf numFmtId="165" fontId="84" fillId="3" borderId="19" xfId="1" applyNumberFormat="1" applyFont="1" applyFill="1" applyBorder="1" applyAlignment="1">
      <alignment horizontal="left" vertical="center"/>
    </xf>
    <xf numFmtId="165" fontId="84" fillId="3" borderId="20" xfId="1" applyNumberFormat="1" applyFont="1" applyFill="1" applyBorder="1" applyAlignment="1">
      <alignment horizontal="left" vertical="center"/>
    </xf>
    <xf numFmtId="165" fontId="84" fillId="3" borderId="21" xfId="1" applyNumberFormat="1" applyFont="1" applyFill="1" applyBorder="1" applyAlignment="1">
      <alignment horizontal="left" vertical="center"/>
    </xf>
    <xf numFmtId="49" fontId="86" fillId="51" borderId="4" xfId="0" applyNumberFormat="1" applyFont="1" applyFill="1" applyBorder="1" applyAlignment="1">
      <alignment horizontal="left" vertical="center" wrapText="1"/>
    </xf>
    <xf numFmtId="49" fontId="86" fillId="51" borderId="5" xfId="0" applyNumberFormat="1" applyFont="1" applyFill="1" applyBorder="1" applyAlignment="1">
      <alignment horizontal="left" vertical="center" wrapText="1"/>
    </xf>
    <xf numFmtId="49" fontId="76" fillId="51" borderId="49" xfId="0" applyNumberFormat="1" applyFont="1" applyFill="1" applyBorder="1" applyAlignment="1">
      <alignment horizontal="left" vertical="center" wrapText="1"/>
    </xf>
    <xf numFmtId="49" fontId="76" fillId="51" borderId="51" xfId="0" applyNumberFormat="1" applyFont="1" applyFill="1" applyBorder="1" applyAlignment="1">
      <alignment horizontal="left" vertical="center" wrapText="1"/>
    </xf>
    <xf numFmtId="164" fontId="71" fillId="48" borderId="72" xfId="1" applyNumberFormat="1" applyFont="1" applyFill="1" applyBorder="1" applyAlignment="1">
      <alignment horizontal="left" wrapText="1"/>
    </xf>
    <xf numFmtId="164" fontId="71" fillId="48" borderId="54" xfId="1" applyNumberFormat="1" applyFont="1" applyFill="1" applyBorder="1" applyAlignment="1">
      <alignment horizontal="left" wrapText="1"/>
    </xf>
    <xf numFmtId="49" fontId="73" fillId="48" borderId="4" xfId="0" applyNumberFormat="1" applyFont="1" applyFill="1" applyBorder="1" applyAlignment="1">
      <alignment horizontal="left" vertical="center" wrapText="1"/>
    </xf>
    <xf numFmtId="49" fontId="73" fillId="48" borderId="5" xfId="0" applyNumberFormat="1" applyFont="1" applyFill="1" applyBorder="1" applyAlignment="1">
      <alignment horizontal="left" vertical="center" wrapText="1"/>
    </xf>
    <xf numFmtId="0" fontId="133" fillId="37" borderId="19" xfId="52" applyFont="1" applyFill="1" applyBorder="1" applyAlignment="1">
      <alignment horizontal="center" vertical="center" wrapText="1"/>
    </xf>
    <xf numFmtId="0" fontId="133" fillId="37" borderId="21" xfId="52" applyFont="1" applyFill="1" applyBorder="1" applyAlignment="1">
      <alignment horizontal="center" vertical="center" wrapText="1"/>
    </xf>
    <xf numFmtId="0" fontId="93" fillId="0" borderId="104" xfId="2" applyFont="1" applyBorder="1" applyAlignment="1">
      <alignment horizontal="right"/>
    </xf>
    <xf numFmtId="0" fontId="93" fillId="0" borderId="105" xfId="2" applyFont="1" applyBorder="1" applyAlignment="1">
      <alignment horizontal="right"/>
    </xf>
    <xf numFmtId="0" fontId="135" fillId="52" borderId="61" xfId="52" applyFont="1" applyFill="1" applyBorder="1" applyAlignment="1">
      <alignment horizontal="center" vertical="center" wrapText="1"/>
    </xf>
    <xf numFmtId="0" fontId="135" fillId="52" borderId="58" xfId="52" applyFont="1" applyFill="1" applyBorder="1" applyAlignment="1">
      <alignment horizontal="center" vertical="center" wrapText="1"/>
    </xf>
    <xf numFmtId="0" fontId="137" fillId="2" borderId="0" xfId="2" applyFont="1" applyFill="1" applyBorder="1" applyAlignment="1">
      <alignment horizontal="left" vertical="center"/>
    </xf>
    <xf numFmtId="0" fontId="133" fillId="0" borderId="0" xfId="52" applyFont="1" applyAlignment="1">
      <alignment horizontal="right" vertical="top"/>
    </xf>
    <xf numFmtId="0" fontId="133" fillId="0" borderId="44" xfId="52" applyFont="1" applyBorder="1" applyAlignment="1">
      <alignment horizontal="left" vertical="center" wrapText="1"/>
    </xf>
    <xf numFmtId="0" fontId="136" fillId="3" borderId="0" xfId="52" applyFont="1" applyFill="1" applyBorder="1" applyAlignment="1">
      <alignment horizontal="right"/>
    </xf>
    <xf numFmtId="0" fontId="136" fillId="3" borderId="101" xfId="52" applyFont="1" applyFill="1" applyBorder="1" applyAlignment="1">
      <alignment horizontal="right"/>
    </xf>
    <xf numFmtId="0" fontId="133" fillId="0" borderId="0" xfId="52" applyFont="1" applyBorder="1" applyAlignment="1">
      <alignment horizontal="left"/>
    </xf>
    <xf numFmtId="0" fontId="133" fillId="45" borderId="3" xfId="52" applyFont="1" applyFill="1" applyBorder="1" applyAlignment="1">
      <alignment horizontal="center" vertical="center"/>
    </xf>
    <xf numFmtId="0" fontId="133" fillId="0" borderId="29" xfId="52" applyFont="1" applyBorder="1" applyAlignment="1">
      <alignment horizontal="left"/>
    </xf>
    <xf numFmtId="0" fontId="133" fillId="37" borderId="19" xfId="52" applyFont="1" applyFill="1" applyBorder="1" applyAlignment="1">
      <alignment horizontal="center"/>
    </xf>
    <xf numFmtId="0" fontId="133" fillId="37" borderId="21" xfId="52" applyFont="1" applyFill="1" applyBorder="1" applyAlignment="1">
      <alignment horizontal="center"/>
    </xf>
    <xf numFmtId="0" fontId="133" fillId="0" borderId="0" xfId="52" applyFont="1" applyBorder="1" applyAlignment="1">
      <alignment horizontal="center"/>
    </xf>
    <xf numFmtId="0" fontId="133" fillId="53" borderId="3" xfId="52" applyFont="1" applyFill="1" applyBorder="1" applyAlignment="1">
      <alignment horizontal="center" vertical="center" textRotation="90" wrapText="1"/>
    </xf>
    <xf numFmtId="0" fontId="133" fillId="53" borderId="61" xfId="52" applyFont="1" applyFill="1" applyBorder="1" applyAlignment="1">
      <alignment horizontal="center" vertical="center" textRotation="90" wrapText="1"/>
    </xf>
    <xf numFmtId="0" fontId="133" fillId="53" borderId="102" xfId="52" applyFont="1" applyFill="1" applyBorder="1" applyAlignment="1">
      <alignment horizontal="center" vertical="center" textRotation="90" wrapText="1"/>
    </xf>
    <xf numFmtId="0" fontId="133" fillId="53" borderId="3" xfId="52" applyFont="1" applyFill="1" applyBorder="1" applyAlignment="1">
      <alignment horizontal="center"/>
    </xf>
    <xf numFmtId="0" fontId="133" fillId="53" borderId="102" xfId="52" applyFont="1" applyFill="1" applyBorder="1" applyAlignment="1">
      <alignment horizontal="center"/>
    </xf>
    <xf numFmtId="0" fontId="133" fillId="53" borderId="19" xfId="52" applyFont="1" applyFill="1" applyBorder="1" applyAlignment="1">
      <alignment horizontal="center"/>
    </xf>
    <xf numFmtId="0" fontId="133" fillId="53" borderId="21" xfId="52" applyFont="1" applyFill="1" applyBorder="1" applyAlignment="1">
      <alignment horizontal="center"/>
    </xf>
    <xf numFmtId="0" fontId="133" fillId="53" borderId="19" xfId="52" applyFont="1" applyFill="1" applyBorder="1" applyAlignment="1">
      <alignment horizontal="center" wrapText="1"/>
    </xf>
    <xf numFmtId="0" fontId="133" fillId="53" borderId="20" xfId="52" applyFont="1" applyFill="1" applyBorder="1" applyAlignment="1">
      <alignment horizontal="center" wrapText="1"/>
    </xf>
    <xf numFmtId="0" fontId="133" fillId="53" borderId="21" xfId="52" applyFont="1" applyFill="1" applyBorder="1" applyAlignment="1">
      <alignment horizontal="center" wrapText="1"/>
    </xf>
    <xf numFmtId="0" fontId="133" fillId="45" borderId="3" xfId="52" applyFont="1" applyFill="1" applyBorder="1" applyAlignment="1">
      <alignment horizontal="center" vertical="center" textRotation="90" wrapText="1"/>
    </xf>
    <xf numFmtId="0" fontId="147" fillId="0" borderId="0" xfId="0" applyFont="1" applyAlignment="1">
      <alignment horizontal="center" vertical="top" wrapText="1"/>
    </xf>
    <xf numFmtId="0" fontId="147" fillId="0" borderId="0" xfId="0" applyFont="1" applyAlignment="1">
      <alignment horizontal="center" vertical="top"/>
    </xf>
    <xf numFmtId="0" fontId="135" fillId="52" borderId="3" xfId="52" applyFont="1" applyFill="1" applyBorder="1" applyAlignment="1">
      <alignment horizontal="center" vertical="center" wrapText="1"/>
    </xf>
    <xf numFmtId="0" fontId="135" fillId="52" borderId="61" xfId="52" applyFont="1" applyFill="1" applyBorder="1" applyAlignment="1">
      <alignment horizontal="center" vertical="center"/>
    </xf>
    <xf numFmtId="0" fontId="135" fillId="52" borderId="58" xfId="52" applyFont="1" applyFill="1" applyBorder="1" applyAlignment="1">
      <alignment horizontal="center" vertical="center"/>
    </xf>
    <xf numFmtId="0" fontId="135" fillId="52" borderId="3" xfId="52" applyFont="1" applyFill="1" applyBorder="1" applyAlignment="1">
      <alignment horizontal="center" vertical="center"/>
    </xf>
    <xf numFmtId="0" fontId="146" fillId="52" borderId="3" xfId="52" applyFont="1" applyFill="1" applyBorder="1" applyAlignment="1">
      <alignment horizontal="center" vertical="center" wrapText="1"/>
    </xf>
    <xf numFmtId="0" fontId="136" fillId="0" borderId="0" xfId="52" applyFont="1" applyBorder="1" applyAlignment="1">
      <alignment horizontal="left" vertical="center" wrapText="1" indent="4"/>
    </xf>
    <xf numFmtId="0" fontId="138" fillId="0" borderId="0" xfId="52" applyFont="1" applyBorder="1" applyAlignment="1">
      <alignment horizontal="left" indent="4"/>
    </xf>
    <xf numFmtId="0" fontId="133" fillId="37" borderId="3" xfId="52" applyFont="1" applyFill="1" applyBorder="1" applyAlignment="1">
      <alignment horizontal="center"/>
    </xf>
    <xf numFmtId="0" fontId="133" fillId="38" borderId="3" xfId="52" applyFont="1" applyFill="1" applyBorder="1" applyAlignment="1">
      <alignment horizontal="center" vertical="center" textRotation="88" wrapText="1"/>
    </xf>
    <xf numFmtId="0" fontId="133" fillId="38" borderId="102" xfId="52" applyFont="1" applyFill="1" applyBorder="1" applyAlignment="1">
      <alignment horizontal="center" vertical="center" textRotation="88" wrapText="1"/>
    </xf>
    <xf numFmtId="0" fontId="133" fillId="38" borderId="3" xfId="52" applyFont="1" applyFill="1" applyBorder="1" applyAlignment="1">
      <alignment horizontal="center"/>
    </xf>
    <xf numFmtId="0" fontId="133" fillId="38" borderId="102" xfId="52" applyFont="1" applyFill="1" applyBorder="1" applyAlignment="1">
      <alignment horizontal="center"/>
    </xf>
    <xf numFmtId="0" fontId="133" fillId="37" borderId="3" xfId="52" applyFont="1" applyFill="1" applyBorder="1" applyAlignment="1">
      <alignment horizontal="center" vertical="center" textRotation="90" wrapText="1"/>
    </xf>
    <xf numFmtId="0" fontId="133" fillId="37" borderId="61" xfId="52" applyFont="1" applyFill="1" applyBorder="1" applyAlignment="1">
      <alignment horizontal="center" vertical="center" textRotation="90" wrapText="1"/>
    </xf>
    <xf numFmtId="0" fontId="133" fillId="37" borderId="102" xfId="52" applyFont="1" applyFill="1" applyBorder="1" applyAlignment="1">
      <alignment horizontal="center" vertical="center" textRotation="90" wrapText="1"/>
    </xf>
    <xf numFmtId="0" fontId="133" fillId="37" borderId="102" xfId="52" applyFont="1" applyFill="1" applyBorder="1" applyAlignment="1">
      <alignment horizontal="center"/>
    </xf>
    <xf numFmtId="0" fontId="38" fillId="2" borderId="48" xfId="2" applyFont="1" applyFill="1" applyBorder="1" applyAlignment="1">
      <alignment vertical="center"/>
    </xf>
    <xf numFmtId="0" fontId="38" fillId="2" borderId="56" xfId="2" applyFont="1" applyFill="1" applyBorder="1" applyAlignment="1">
      <alignment vertical="center"/>
    </xf>
    <xf numFmtId="41" fontId="38" fillId="2" borderId="4" xfId="2" applyNumberFormat="1" applyFont="1" applyFill="1" applyBorder="1" applyAlignment="1">
      <alignment horizontal="center" vertical="center"/>
    </xf>
    <xf numFmtId="0" fontId="15" fillId="48" borderId="31" xfId="2" applyFont="1" applyFill="1" applyBorder="1" applyAlignment="1">
      <alignment horizontal="center" vertical="center"/>
    </xf>
    <xf numFmtId="0" fontId="15" fillId="48" borderId="57" xfId="2" applyFont="1" applyFill="1" applyBorder="1" applyAlignment="1">
      <alignment horizontal="center" vertical="center"/>
    </xf>
    <xf numFmtId="0" fontId="42" fillId="31" borderId="3" xfId="2" applyFont="1" applyFill="1" applyBorder="1" applyAlignment="1">
      <alignment horizontal="center" vertical="center" wrapText="1"/>
    </xf>
    <xf numFmtId="172" fontId="42" fillId="31" borderId="3" xfId="2" applyNumberFormat="1" applyFont="1" applyFill="1" applyBorder="1" applyAlignment="1">
      <alignment horizontal="center" vertical="center" wrapText="1"/>
    </xf>
    <xf numFmtId="0" fontId="94" fillId="0" borderId="19" xfId="2" applyFont="1" applyFill="1" applyBorder="1" applyAlignment="1">
      <alignment horizontal="center" vertical="center"/>
    </xf>
    <xf numFmtId="0" fontId="94" fillId="0" borderId="20" xfId="2" applyFont="1" applyFill="1" applyBorder="1" applyAlignment="1">
      <alignment horizontal="center" vertical="center"/>
    </xf>
    <xf numFmtId="0" fontId="94" fillId="0" borderId="21" xfId="2" applyFont="1" applyFill="1" applyBorder="1" applyAlignment="1">
      <alignment horizontal="center" vertical="center"/>
    </xf>
    <xf numFmtId="0" fontId="38" fillId="31" borderId="3" xfId="2" applyFont="1" applyFill="1" applyBorder="1" applyAlignment="1">
      <alignment horizontal="center" vertical="center"/>
    </xf>
    <xf numFmtId="0" fontId="13" fillId="31" borderId="3" xfId="2" applyFont="1" applyFill="1" applyBorder="1" applyAlignment="1">
      <alignment horizontal="center" vertical="center"/>
    </xf>
    <xf numFmtId="0" fontId="43" fillId="31" borderId="3" xfId="2" applyFont="1" applyFill="1" applyBorder="1" applyAlignment="1">
      <alignment horizontal="center" vertical="center" wrapText="1"/>
    </xf>
    <xf numFmtId="0" fontId="43" fillId="31" borderId="3" xfId="2" applyFont="1" applyFill="1" applyBorder="1" applyAlignment="1">
      <alignment horizontal="center" vertical="center"/>
    </xf>
    <xf numFmtId="0" fontId="13" fillId="31" borderId="3" xfId="2" applyFont="1" applyFill="1" applyBorder="1" applyAlignment="1">
      <alignment horizontal="center" vertical="center" wrapText="1"/>
    </xf>
    <xf numFmtId="0" fontId="93" fillId="43" borderId="3" xfId="2" applyFont="1" applyFill="1" applyBorder="1" applyAlignment="1">
      <alignment horizontal="left" vertical="center"/>
    </xf>
    <xf numFmtId="41" fontId="38" fillId="2" borderId="49" xfId="2" applyNumberFormat="1" applyFont="1" applyFill="1" applyBorder="1" applyAlignment="1">
      <alignment horizontal="center" vertical="center"/>
    </xf>
    <xf numFmtId="41" fontId="38" fillId="2" borderId="59" xfId="2" applyNumberFormat="1" applyFont="1" applyFill="1" applyBorder="1" applyAlignment="1">
      <alignment horizontal="center" vertical="center"/>
    </xf>
    <xf numFmtId="41" fontId="38" fillId="2" borderId="1" xfId="2" applyNumberFormat="1" applyFont="1" applyFill="1" applyBorder="1" applyAlignment="1">
      <alignment horizontal="center" vertical="center"/>
    </xf>
    <xf numFmtId="0" fontId="14" fillId="36" borderId="31" xfId="2" applyFont="1" applyFill="1" applyBorder="1" applyAlignment="1">
      <alignment horizontal="center" vertical="center"/>
    </xf>
    <xf numFmtId="0" fontId="14" fillId="36" borderId="57" xfId="2" applyFont="1" applyFill="1" applyBorder="1" applyAlignment="1">
      <alignment horizontal="center" vertical="center"/>
    </xf>
    <xf numFmtId="0" fontId="14" fillId="48" borderId="31" xfId="2" applyFont="1" applyFill="1" applyBorder="1" applyAlignment="1">
      <alignment horizontal="center" vertical="center"/>
    </xf>
    <xf numFmtId="0" fontId="14" fillId="48" borderId="57" xfId="2" applyFont="1" applyFill="1" applyBorder="1" applyAlignment="1">
      <alignment horizontal="center" vertical="center"/>
    </xf>
    <xf numFmtId="0" fontId="14" fillId="36" borderId="29" xfId="2" applyFont="1" applyFill="1" applyBorder="1" applyAlignment="1">
      <alignment horizontal="center" vertical="center"/>
    </xf>
    <xf numFmtId="0" fontId="14" fillId="36" borderId="0" xfId="2" applyFont="1" applyFill="1" applyBorder="1" applyAlignment="1">
      <alignment horizontal="center" vertical="center"/>
    </xf>
    <xf numFmtId="0" fontId="51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right"/>
    </xf>
    <xf numFmtId="0" fontId="92" fillId="2" borderId="0" xfId="2" applyFont="1" applyFill="1" applyBorder="1" applyAlignment="1">
      <alignment horizontal="left"/>
    </xf>
    <xf numFmtId="0" fontId="100" fillId="2" borderId="18" xfId="2" applyFont="1" applyFill="1" applyBorder="1" applyAlignment="1">
      <alignment horizontal="right"/>
    </xf>
    <xf numFmtId="0" fontId="96" fillId="48" borderId="3" xfId="2" applyFont="1" applyFill="1" applyBorder="1" applyAlignment="1">
      <alignment horizontal="left" vertical="center"/>
    </xf>
    <xf numFmtId="0" fontId="15" fillId="34" borderId="5" xfId="2" applyFont="1" applyFill="1" applyBorder="1" applyAlignment="1">
      <alignment horizontal="center" vertical="center"/>
    </xf>
    <xf numFmtId="0" fontId="15" fillId="34" borderId="5" xfId="2" applyFont="1" applyFill="1" applyBorder="1" applyAlignment="1">
      <alignment horizontal="center" vertical="center" wrapText="1"/>
    </xf>
    <xf numFmtId="0" fontId="15" fillId="34" borderId="6" xfId="2" applyFont="1" applyFill="1" applyBorder="1" applyAlignment="1">
      <alignment horizontal="center" vertical="center"/>
    </xf>
    <xf numFmtId="164" fontId="40" fillId="34" borderId="0" xfId="64" applyNumberFormat="1" applyFont="1" applyFill="1" applyAlignment="1">
      <alignment horizontal="center" vertical="center"/>
    </xf>
    <xf numFmtId="0" fontId="44" fillId="0" borderId="44" xfId="2" applyFont="1" applyBorder="1" applyAlignment="1">
      <alignment vertical="center" wrapText="1"/>
    </xf>
    <xf numFmtId="0" fontId="38" fillId="34" borderId="49" xfId="2" applyFont="1" applyFill="1" applyBorder="1" applyAlignment="1">
      <alignment horizontal="center" vertical="center" textRotation="90" wrapText="1"/>
    </xf>
    <xf numFmtId="0" fontId="38" fillId="34" borderId="72" xfId="2" applyFont="1" applyFill="1" applyBorder="1" applyAlignment="1">
      <alignment horizontal="center" vertical="center" textRotation="90" wrapText="1"/>
    </xf>
    <xf numFmtId="0" fontId="38" fillId="34" borderId="61" xfId="2" applyFont="1" applyFill="1" applyBorder="1" applyAlignment="1">
      <alignment horizontal="center" vertical="center" wrapText="1"/>
    </xf>
    <xf numFmtId="0" fontId="38" fillId="34" borderId="62" xfId="2" applyFont="1" applyFill="1" applyBorder="1" applyAlignment="1">
      <alignment horizontal="center" vertical="center" wrapText="1"/>
    </xf>
    <xf numFmtId="0" fontId="38" fillId="34" borderId="58" xfId="2" applyFont="1" applyFill="1" applyBorder="1" applyAlignment="1">
      <alignment horizontal="center" vertical="center" wrapText="1"/>
    </xf>
    <xf numFmtId="0" fontId="15" fillId="34" borderId="27" xfId="2" applyFont="1" applyFill="1" applyBorder="1" applyAlignment="1">
      <alignment horizontal="center" vertical="center"/>
    </xf>
    <xf numFmtId="0" fontId="15" fillId="34" borderId="44" xfId="2" applyFont="1" applyFill="1" applyBorder="1" applyAlignment="1">
      <alignment horizontal="center" vertical="center"/>
    </xf>
    <xf numFmtId="0" fontId="15" fillId="34" borderId="28" xfId="2" applyFont="1" applyFill="1" applyBorder="1" applyAlignment="1">
      <alignment horizontal="center" vertical="center"/>
    </xf>
    <xf numFmtId="0" fontId="15" fillId="34" borderId="34" xfId="2" applyFont="1" applyFill="1" applyBorder="1" applyAlignment="1">
      <alignment horizontal="center" vertical="center"/>
    </xf>
    <xf numFmtId="0" fontId="15" fillId="34" borderId="35" xfId="2" applyFont="1" applyFill="1" applyBorder="1" applyAlignment="1">
      <alignment horizontal="center" vertical="center"/>
    </xf>
    <xf numFmtId="0" fontId="15" fillId="34" borderId="77" xfId="2" applyFont="1" applyFill="1" applyBorder="1" applyAlignment="1">
      <alignment horizontal="center" vertical="center"/>
    </xf>
    <xf numFmtId="0" fontId="96" fillId="0" borderId="0" xfId="2" applyFont="1" applyAlignment="1">
      <alignment horizontal="right"/>
    </xf>
    <xf numFmtId="0" fontId="128" fillId="2" borderId="0" xfId="2" applyFont="1" applyFill="1" applyBorder="1" applyAlignment="1">
      <alignment horizontal="center" wrapText="1"/>
    </xf>
    <xf numFmtId="0" fontId="93" fillId="48" borderId="3" xfId="2" applyFont="1" applyFill="1" applyBorder="1" applyAlignment="1">
      <alignment horizontal="left" vertical="center"/>
    </xf>
    <xf numFmtId="164" fontId="13" fillId="0" borderId="0" xfId="57" applyNumberFormat="1" applyFont="1" applyAlignment="1">
      <alignment horizontal="center" vertical="center"/>
    </xf>
    <xf numFmtId="0" fontId="38" fillId="34" borderId="4" xfId="2" applyFont="1" applyFill="1" applyBorder="1" applyAlignment="1">
      <alignment horizontal="center" vertical="center" textRotation="90" wrapText="1"/>
    </xf>
    <xf numFmtId="0" fontId="38" fillId="34" borderId="7" xfId="2" applyFont="1" applyFill="1" applyBorder="1" applyAlignment="1">
      <alignment horizontal="center" vertical="center" textRotation="90" wrapText="1"/>
    </xf>
    <xf numFmtId="164" fontId="13" fillId="0" borderId="0" xfId="64" applyNumberFormat="1" applyFont="1" applyAlignment="1">
      <alignment horizontal="center" vertical="center"/>
    </xf>
    <xf numFmtId="0" fontId="15" fillId="34" borderId="61" xfId="2" applyFont="1" applyFill="1" applyBorder="1" applyAlignment="1">
      <alignment horizontal="center" vertical="center" wrapText="1"/>
    </xf>
    <xf numFmtId="0" fontId="15" fillId="34" borderId="62" xfId="2" applyFont="1" applyFill="1" applyBorder="1" applyAlignment="1">
      <alignment horizontal="center" vertical="center" wrapText="1"/>
    </xf>
    <xf numFmtId="0" fontId="15" fillId="34" borderId="58" xfId="2" applyFont="1" applyFill="1" applyBorder="1" applyAlignment="1">
      <alignment horizontal="center" vertical="center" wrapText="1"/>
    </xf>
    <xf numFmtId="0" fontId="15" fillId="34" borderId="46" xfId="2" applyFont="1" applyFill="1" applyBorder="1" applyAlignment="1">
      <alignment horizontal="center" vertical="center"/>
    </xf>
    <xf numFmtId="0" fontId="15" fillId="34" borderId="36" xfId="2" applyFont="1" applyFill="1" applyBorder="1" applyAlignment="1">
      <alignment horizontal="center" vertical="center"/>
    </xf>
    <xf numFmtId="0" fontId="15" fillId="34" borderId="37" xfId="2" applyFont="1" applyFill="1" applyBorder="1" applyAlignment="1">
      <alignment horizontal="center" vertical="center"/>
    </xf>
    <xf numFmtId="0" fontId="93" fillId="0" borderId="0" xfId="2" applyFont="1" applyAlignment="1">
      <alignment horizontal="right"/>
    </xf>
    <xf numFmtId="0" fontId="85" fillId="3" borderId="44" xfId="40" applyFont="1" applyFill="1" applyBorder="1" applyAlignment="1">
      <alignment horizontal="center" vertical="center"/>
    </xf>
    <xf numFmtId="0" fontId="85" fillId="3" borderId="28" xfId="40" applyFont="1" applyFill="1" applyBorder="1" applyAlignment="1">
      <alignment horizontal="center" vertical="center"/>
    </xf>
    <xf numFmtId="0" fontId="93" fillId="2" borderId="0" xfId="2" applyFont="1" applyFill="1" applyBorder="1" applyAlignment="1">
      <alignment horizontal="left"/>
    </xf>
    <xf numFmtId="0" fontId="140" fillId="2" borderId="0" xfId="48" applyFont="1" applyFill="1" applyBorder="1" applyAlignment="1">
      <alignment horizontal="left" wrapText="1"/>
    </xf>
    <xf numFmtId="0" fontId="84" fillId="48" borderId="3" xfId="0" applyFont="1" applyFill="1" applyBorder="1" applyAlignment="1">
      <alignment horizontal="center" vertical="center" wrapText="1"/>
    </xf>
    <xf numFmtId="0" fontId="143" fillId="2" borderId="0" xfId="48" applyFont="1" applyFill="1" applyAlignment="1">
      <alignment horizontal="center" vertical="center" wrapText="1"/>
    </xf>
    <xf numFmtId="0" fontId="13" fillId="48" borderId="19" xfId="2" applyFont="1" applyFill="1" applyBorder="1" applyAlignment="1">
      <alignment horizontal="center" vertical="center" wrapText="1"/>
    </xf>
    <xf numFmtId="0" fontId="13" fillId="48" borderId="21" xfId="2" applyFont="1" applyFill="1" applyBorder="1" applyAlignment="1">
      <alignment horizontal="center" vertical="center" wrapText="1"/>
    </xf>
    <xf numFmtId="0" fontId="140" fillId="2" borderId="0" xfId="48" applyFont="1" applyFill="1" applyAlignment="1">
      <alignment horizontal="left" wrapText="1"/>
    </xf>
    <xf numFmtId="165" fontId="15" fillId="0" borderId="25" xfId="1" applyNumberFormat="1" applyFont="1" applyFill="1" applyBorder="1" applyAlignment="1">
      <alignment horizontal="left" vertical="center" wrapText="1"/>
    </xf>
    <xf numFmtId="165" fontId="15" fillId="0" borderId="26" xfId="1" applyNumberFormat="1" applyFont="1" applyFill="1" applyBorder="1" applyAlignment="1">
      <alignment horizontal="left" vertical="center" wrapText="1"/>
    </xf>
    <xf numFmtId="165" fontId="15" fillId="0" borderId="88" xfId="1" applyNumberFormat="1" applyFont="1" applyFill="1" applyBorder="1" applyAlignment="1">
      <alignment horizontal="left" vertical="center" wrapText="1"/>
    </xf>
    <xf numFmtId="165" fontId="15" fillId="0" borderId="22" xfId="1" applyNumberFormat="1" applyFont="1" applyFill="1" applyBorder="1" applyAlignment="1">
      <alignment horizontal="left" vertical="center" wrapText="1"/>
    </xf>
    <xf numFmtId="165" fontId="15" fillId="0" borderId="23" xfId="1" applyNumberFormat="1" applyFont="1" applyFill="1" applyBorder="1" applyAlignment="1">
      <alignment horizontal="left" vertical="center" wrapText="1"/>
    </xf>
    <xf numFmtId="165" fontId="15" fillId="0" borderId="24" xfId="1" applyNumberFormat="1" applyFont="1" applyFill="1" applyBorder="1" applyAlignment="1">
      <alignment horizontal="left" vertical="center" wrapText="1"/>
    </xf>
    <xf numFmtId="165" fontId="15" fillId="33" borderId="19" xfId="1" applyNumberFormat="1" applyFont="1" applyFill="1" applyBorder="1" applyAlignment="1">
      <alignment horizontal="left" vertical="center" wrapText="1"/>
    </xf>
    <xf numFmtId="165" fontId="15" fillId="33" borderId="20" xfId="1" applyNumberFormat="1" applyFont="1" applyFill="1" applyBorder="1" applyAlignment="1">
      <alignment horizontal="left" vertical="center" wrapText="1"/>
    </xf>
    <xf numFmtId="165" fontId="15" fillId="33" borderId="21" xfId="1" applyNumberFormat="1" applyFont="1" applyFill="1" applyBorder="1" applyAlignment="1">
      <alignment horizontal="left" vertical="center" wrapText="1"/>
    </xf>
    <xf numFmtId="165" fontId="15" fillId="0" borderId="34" xfId="1" applyNumberFormat="1" applyFont="1" applyFill="1" applyBorder="1" applyAlignment="1">
      <alignment horizontal="left" vertical="center" wrapText="1"/>
    </xf>
    <xf numFmtId="165" fontId="15" fillId="0" borderId="35" xfId="1" applyNumberFormat="1" applyFont="1" applyFill="1" applyBorder="1" applyAlignment="1">
      <alignment horizontal="left" vertical="center" wrapText="1"/>
    </xf>
    <xf numFmtId="165" fontId="15" fillId="0" borderId="77" xfId="1" applyNumberFormat="1" applyFont="1" applyFill="1" applyBorder="1" applyAlignment="1">
      <alignment horizontal="left" vertical="center" wrapText="1"/>
    </xf>
    <xf numFmtId="0" fontId="96" fillId="0" borderId="104" xfId="2" applyFont="1" applyBorder="1" applyAlignment="1">
      <alignment horizontal="right"/>
    </xf>
    <xf numFmtId="0" fontId="96" fillId="0" borderId="105" xfId="2" applyFont="1" applyBorder="1" applyAlignment="1">
      <alignment horizontal="right"/>
    </xf>
    <xf numFmtId="0" fontId="95" fillId="2" borderId="0" xfId="2" applyFont="1" applyFill="1" applyBorder="1" applyAlignment="1">
      <alignment horizontal="center" wrapText="1"/>
    </xf>
    <xf numFmtId="41" fontId="15" fillId="0" borderId="27" xfId="2" applyNumberFormat="1" applyFont="1" applyFill="1" applyBorder="1" applyAlignment="1">
      <alignment horizontal="left" vertical="center" wrapText="1"/>
    </xf>
    <xf numFmtId="41" fontId="15" fillId="0" borderId="44" xfId="2" applyNumberFormat="1" applyFont="1" applyFill="1" applyBorder="1" applyAlignment="1">
      <alignment horizontal="left" vertical="center" wrapText="1"/>
    </xf>
    <xf numFmtId="41" fontId="15" fillId="0" borderId="28" xfId="2" applyNumberFormat="1" applyFont="1" applyFill="1" applyBorder="1" applyAlignment="1">
      <alignment horizontal="left" vertical="center" wrapText="1"/>
    </xf>
    <xf numFmtId="165" fontId="15" fillId="0" borderId="50" xfId="1" applyNumberFormat="1" applyFont="1" applyFill="1" applyBorder="1" applyAlignment="1">
      <alignment horizontal="left" vertical="center" wrapText="1"/>
    </xf>
    <xf numFmtId="0" fontId="100" fillId="0" borderId="20" xfId="2" applyFont="1" applyBorder="1" applyAlignment="1">
      <alignment horizontal="right"/>
    </xf>
    <xf numFmtId="0" fontId="38" fillId="31" borderId="65" xfId="2" applyFont="1" applyFill="1" applyBorder="1" applyAlignment="1">
      <alignment horizontal="center" vertical="center"/>
    </xf>
    <xf numFmtId="0" fontId="38" fillId="31" borderId="66" xfId="2" applyFont="1" applyFill="1" applyBorder="1" applyAlignment="1">
      <alignment horizontal="center" vertical="center"/>
    </xf>
    <xf numFmtId="0" fontId="38" fillId="31" borderId="67" xfId="2" applyFont="1" applyFill="1" applyBorder="1" applyAlignment="1">
      <alignment horizontal="center" vertical="center"/>
    </xf>
    <xf numFmtId="0" fontId="38" fillId="31" borderId="65" xfId="2" applyFont="1" applyFill="1" applyBorder="1" applyAlignment="1">
      <alignment horizontal="center" vertical="center" wrapText="1"/>
    </xf>
    <xf numFmtId="0" fontId="38" fillId="31" borderId="66" xfId="2" applyFont="1" applyFill="1" applyBorder="1" applyAlignment="1">
      <alignment horizontal="center" vertical="center" wrapText="1"/>
    </xf>
    <xf numFmtId="0" fontId="38" fillId="31" borderId="67" xfId="2" applyFont="1" applyFill="1" applyBorder="1" applyAlignment="1">
      <alignment horizontal="center" vertical="center" wrapText="1"/>
    </xf>
    <xf numFmtId="41" fontId="15" fillId="33" borderId="19" xfId="2" applyNumberFormat="1" applyFont="1" applyFill="1" applyBorder="1" applyAlignment="1">
      <alignment horizontal="left" vertical="center" wrapText="1"/>
    </xf>
    <xf numFmtId="41" fontId="15" fillId="33" borderId="20" xfId="2" applyNumberFormat="1" applyFont="1" applyFill="1" applyBorder="1" applyAlignment="1">
      <alignment horizontal="left" vertical="center" wrapText="1"/>
    </xf>
    <xf numFmtId="41" fontId="15" fillId="33" borderId="21" xfId="2" applyNumberFormat="1" applyFont="1" applyFill="1" applyBorder="1" applyAlignment="1">
      <alignment horizontal="left" vertical="center" wrapText="1"/>
    </xf>
    <xf numFmtId="41" fontId="91" fillId="33" borderId="19" xfId="2" applyNumberFormat="1" applyFont="1" applyFill="1" applyBorder="1" applyAlignment="1">
      <alignment horizontal="left" vertical="center" wrapText="1"/>
    </xf>
    <xf numFmtId="41" fontId="91" fillId="33" borderId="20" xfId="2" applyNumberFormat="1" applyFont="1" applyFill="1" applyBorder="1" applyAlignment="1">
      <alignment horizontal="left" vertical="center" wrapText="1"/>
    </xf>
    <xf numFmtId="41" fontId="91" fillId="33" borderId="21" xfId="2" applyNumberFormat="1" applyFont="1" applyFill="1" applyBorder="1" applyAlignment="1">
      <alignment horizontal="left" vertical="center" wrapText="1"/>
    </xf>
    <xf numFmtId="0" fontId="38" fillId="31" borderId="3" xfId="2" applyFont="1" applyFill="1" applyBorder="1" applyAlignment="1">
      <alignment horizontal="center" vertical="center" wrapText="1"/>
    </xf>
    <xf numFmtId="0" fontId="38" fillId="31" borderId="61" xfId="2" applyFont="1" applyFill="1" applyBorder="1" applyAlignment="1">
      <alignment horizontal="center" vertical="center" wrapText="1"/>
    </xf>
    <xf numFmtId="0" fontId="38" fillId="31" borderId="62" xfId="2" applyFont="1" applyFill="1" applyBorder="1" applyAlignment="1">
      <alignment horizontal="center" vertical="center" wrapText="1"/>
    </xf>
    <xf numFmtId="0" fontId="38" fillId="31" borderId="58" xfId="2" applyFont="1" applyFill="1" applyBorder="1" applyAlignment="1">
      <alignment horizontal="center" vertical="center" wrapText="1"/>
    </xf>
    <xf numFmtId="0" fontId="14" fillId="31" borderId="64" xfId="2" applyFont="1" applyFill="1" applyBorder="1" applyAlignment="1">
      <alignment horizontal="center" vertical="center"/>
    </xf>
    <xf numFmtId="0" fontId="14" fillId="31" borderId="95" xfId="2" applyFont="1" applyFill="1" applyBorder="1" applyAlignment="1">
      <alignment horizontal="center" vertical="center"/>
    </xf>
    <xf numFmtId="0" fontId="38" fillId="31" borderId="91" xfId="2" applyFont="1" applyFill="1" applyBorder="1" applyAlignment="1">
      <alignment horizontal="center" vertical="center" wrapText="1"/>
    </xf>
    <xf numFmtId="0" fontId="38" fillId="31" borderId="92" xfId="2" applyFont="1" applyFill="1" applyBorder="1" applyAlignment="1">
      <alignment horizontal="center" vertical="center" wrapText="1"/>
    </xf>
    <xf numFmtId="0" fontId="38" fillId="31" borderId="93" xfId="2" applyFont="1" applyFill="1" applyBorder="1" applyAlignment="1">
      <alignment horizontal="center" vertical="center" wrapText="1"/>
    </xf>
    <xf numFmtId="41" fontId="15" fillId="33" borderId="30" xfId="2" applyNumberFormat="1" applyFont="1" applyFill="1" applyBorder="1" applyAlignment="1">
      <alignment horizontal="left" vertical="center"/>
    </xf>
    <xf numFmtId="41" fontId="15" fillId="33" borderId="18" xfId="2" applyNumberFormat="1" applyFont="1" applyFill="1" applyBorder="1" applyAlignment="1">
      <alignment horizontal="left" vertical="center"/>
    </xf>
    <xf numFmtId="41" fontId="15" fillId="33" borderId="94" xfId="2" applyNumberFormat="1" applyFont="1" applyFill="1" applyBorder="1" applyAlignment="1">
      <alignment horizontal="left" vertical="center"/>
    </xf>
    <xf numFmtId="41" fontId="14" fillId="33" borderId="19" xfId="2" applyNumberFormat="1" applyFont="1" applyFill="1" applyBorder="1" applyAlignment="1">
      <alignment horizontal="left" vertical="center"/>
    </xf>
    <xf numFmtId="41" fontId="14" fillId="33" borderId="20" xfId="2" applyNumberFormat="1" applyFont="1" applyFill="1" applyBorder="1" applyAlignment="1">
      <alignment horizontal="left" vertical="center"/>
    </xf>
    <xf numFmtId="41" fontId="14" fillId="33" borderId="21" xfId="2" applyNumberFormat="1" applyFont="1" applyFill="1" applyBorder="1" applyAlignment="1">
      <alignment horizontal="left" vertical="center"/>
    </xf>
    <xf numFmtId="0" fontId="13" fillId="31" borderId="63" xfId="2" applyFont="1" applyFill="1" applyBorder="1" applyAlignment="1">
      <alignment horizontal="center" vertical="center"/>
    </xf>
    <xf numFmtId="0" fontId="13" fillId="31" borderId="64" xfId="2" applyFont="1" applyFill="1" applyBorder="1" applyAlignment="1">
      <alignment horizontal="center" vertical="center"/>
    </xf>
    <xf numFmtId="0" fontId="9" fillId="31" borderId="64" xfId="2" applyFill="1" applyBorder="1" applyAlignment="1">
      <alignment horizontal="center" vertical="center"/>
    </xf>
    <xf numFmtId="0" fontId="9" fillId="31" borderId="95" xfId="2" applyFill="1" applyBorder="1" applyAlignment="1">
      <alignment horizontal="center" vertical="center"/>
    </xf>
    <xf numFmtId="0" fontId="13" fillId="31" borderId="65" xfId="2" applyFont="1" applyFill="1" applyBorder="1" applyAlignment="1">
      <alignment horizontal="center" vertical="center" wrapText="1"/>
    </xf>
    <xf numFmtId="0" fontId="13" fillId="31" borderId="66" xfId="2" applyFont="1" applyFill="1" applyBorder="1" applyAlignment="1">
      <alignment horizontal="center" vertical="center" wrapText="1"/>
    </xf>
    <xf numFmtId="0" fontId="13" fillId="31" borderId="67" xfId="2" applyFont="1" applyFill="1" applyBorder="1" applyAlignment="1">
      <alignment horizontal="center" vertical="center" wrapText="1"/>
    </xf>
    <xf numFmtId="0" fontId="13" fillId="31" borderId="91" xfId="2" applyFont="1" applyFill="1" applyBorder="1" applyAlignment="1">
      <alignment horizontal="center" vertical="center" wrapText="1"/>
    </xf>
    <xf numFmtId="0" fontId="13" fillId="31" borderId="92" xfId="2" applyFont="1" applyFill="1" applyBorder="1" applyAlignment="1">
      <alignment horizontal="center" vertical="center" wrapText="1"/>
    </xf>
    <xf numFmtId="0" fontId="13" fillId="31" borderId="93" xfId="2" applyFont="1" applyFill="1" applyBorder="1" applyAlignment="1">
      <alignment horizontal="center" vertical="center" wrapText="1"/>
    </xf>
    <xf numFmtId="0" fontId="13" fillId="31" borderId="65" xfId="2" applyFont="1" applyFill="1" applyBorder="1" applyAlignment="1">
      <alignment horizontal="center" vertical="center"/>
    </xf>
    <xf numFmtId="0" fontId="13" fillId="31" borderId="66" xfId="2" applyFont="1" applyFill="1" applyBorder="1" applyAlignment="1">
      <alignment horizontal="center" vertical="center"/>
    </xf>
    <xf numFmtId="0" fontId="13" fillId="31" borderId="67" xfId="2" applyFont="1" applyFill="1" applyBorder="1" applyAlignment="1">
      <alignment horizontal="center" vertical="center"/>
    </xf>
    <xf numFmtId="0" fontId="13" fillId="31" borderId="96" xfId="2" applyFont="1" applyFill="1" applyBorder="1" applyAlignment="1">
      <alignment horizontal="center" vertical="center"/>
    </xf>
    <xf numFmtId="0" fontId="13" fillId="31" borderId="97" xfId="2" applyFont="1" applyFill="1" applyBorder="1" applyAlignment="1">
      <alignment horizontal="center" vertical="center"/>
    </xf>
    <xf numFmtId="41" fontId="38" fillId="2" borderId="19" xfId="2" applyNumberFormat="1" applyFont="1" applyFill="1" applyBorder="1" applyAlignment="1">
      <alignment horizontal="center" vertical="center" wrapText="1"/>
    </xf>
    <xf numFmtId="41" fontId="38" fillId="2" borderId="21" xfId="2" applyNumberFormat="1" applyFont="1" applyFill="1" applyBorder="1" applyAlignment="1">
      <alignment horizontal="center" vertical="center" wrapText="1"/>
    </xf>
    <xf numFmtId="41" fontId="38" fillId="2" borderId="27" xfId="2" applyNumberFormat="1" applyFont="1" applyFill="1" applyBorder="1" applyAlignment="1">
      <alignment horizontal="center" vertical="center" wrapText="1"/>
    </xf>
    <xf numFmtId="41" fontId="38" fillId="2" borderId="28" xfId="2" applyNumberFormat="1" applyFont="1" applyFill="1" applyBorder="1" applyAlignment="1">
      <alignment horizontal="center" vertical="center" wrapText="1"/>
    </xf>
    <xf numFmtId="0" fontId="13" fillId="48" borderId="3" xfId="2" applyFont="1" applyFill="1" applyBorder="1" applyAlignment="1">
      <alignment horizontal="center" vertical="center"/>
    </xf>
    <xf numFmtId="0" fontId="15" fillId="31" borderId="3" xfId="2" applyFont="1" applyFill="1" applyBorder="1" applyAlignment="1">
      <alignment horizontal="center" vertical="center" wrapText="1"/>
    </xf>
    <xf numFmtId="41" fontId="15" fillId="33" borderId="3" xfId="2" applyNumberFormat="1" applyFont="1" applyFill="1" applyBorder="1" applyAlignment="1">
      <alignment horizontal="left" vertical="center" wrapText="1"/>
    </xf>
    <xf numFmtId="41" fontId="38" fillId="33" borderId="27" xfId="2" applyNumberFormat="1" applyFont="1" applyFill="1" applyBorder="1" applyAlignment="1">
      <alignment horizontal="center" vertical="center"/>
    </xf>
    <xf numFmtId="41" fontId="38" fillId="33" borderId="44" xfId="2" applyNumberFormat="1" applyFont="1" applyFill="1" applyBorder="1" applyAlignment="1">
      <alignment horizontal="center" vertical="center"/>
    </xf>
    <xf numFmtId="41" fontId="38" fillId="33" borderId="28" xfId="2" applyNumberFormat="1" applyFont="1" applyFill="1" applyBorder="1" applyAlignment="1">
      <alignment horizontal="center" vertical="center"/>
    </xf>
    <xf numFmtId="41" fontId="38" fillId="33" borderId="19" xfId="2" applyNumberFormat="1" applyFont="1" applyFill="1" applyBorder="1" applyAlignment="1">
      <alignment horizontal="center" vertical="center"/>
    </xf>
    <xf numFmtId="41" fontId="38" fillId="33" borderId="20" xfId="2" applyNumberFormat="1" applyFont="1" applyFill="1" applyBorder="1" applyAlignment="1">
      <alignment horizontal="center" vertical="center"/>
    </xf>
    <xf numFmtId="41" fontId="38" fillId="33" borderId="21" xfId="2" applyNumberFormat="1" applyFont="1" applyFill="1" applyBorder="1" applyAlignment="1">
      <alignment horizontal="center" vertical="center"/>
    </xf>
    <xf numFmtId="41" fontId="9" fillId="0" borderId="44" xfId="2" applyNumberFormat="1" applyBorder="1"/>
    <xf numFmtId="41" fontId="9" fillId="0" borderId="28" xfId="2" applyNumberFormat="1" applyBorder="1"/>
    <xf numFmtId="41" fontId="15" fillId="33" borderId="58" xfId="2" applyNumberFormat="1" applyFont="1" applyFill="1" applyBorder="1" applyAlignment="1">
      <alignment horizontal="left" vertical="center" wrapText="1"/>
    </xf>
    <xf numFmtId="0" fontId="152" fillId="2" borderId="0" xfId="2" applyFont="1" applyFill="1" applyBorder="1" applyAlignment="1">
      <alignment horizontal="center" wrapText="1"/>
    </xf>
    <xf numFmtId="0" fontId="45" fillId="2" borderId="18" xfId="2" applyFont="1" applyFill="1" applyBorder="1" applyAlignment="1">
      <alignment horizontal="center"/>
    </xf>
    <xf numFmtId="0" fontId="96" fillId="0" borderId="104" xfId="2" applyFont="1" applyBorder="1" applyAlignment="1">
      <alignment horizontal="center"/>
    </xf>
    <xf numFmtId="0" fontId="96" fillId="0" borderId="105" xfId="2" applyFont="1" applyBorder="1" applyAlignment="1">
      <alignment horizontal="center"/>
    </xf>
    <xf numFmtId="0" fontId="13" fillId="44" borderId="3" xfId="2" applyFont="1" applyFill="1" applyBorder="1" applyAlignment="1">
      <alignment horizontal="center" vertical="center"/>
    </xf>
    <xf numFmtId="0" fontId="153" fillId="2" borderId="0" xfId="2" applyFont="1" applyFill="1" applyBorder="1" applyAlignment="1">
      <alignment horizontal="center" wrapText="1"/>
    </xf>
    <xf numFmtId="41" fontId="13" fillId="33" borderId="19" xfId="2" applyNumberFormat="1" applyFont="1" applyFill="1" applyBorder="1" applyAlignment="1">
      <alignment horizontal="left" vertical="center" wrapText="1"/>
    </xf>
    <xf numFmtId="41" fontId="13" fillId="33" borderId="21" xfId="2" applyNumberFormat="1" applyFont="1" applyFill="1" applyBorder="1" applyAlignment="1">
      <alignment horizontal="left" vertical="center" wrapText="1"/>
    </xf>
    <xf numFmtId="41" fontId="9" fillId="2" borderId="27" xfId="2" applyNumberFormat="1" applyFont="1" applyFill="1" applyBorder="1" applyAlignment="1">
      <alignment horizontal="center" vertical="center" wrapText="1"/>
    </xf>
    <xf numFmtId="41" fontId="9" fillId="2" borderId="28" xfId="2" applyNumberFormat="1" applyFont="1" applyFill="1" applyBorder="1" applyAlignment="1">
      <alignment horizontal="center" vertical="center" wrapText="1"/>
    </xf>
    <xf numFmtId="0" fontId="13" fillId="48" borderId="19" xfId="2" applyFont="1" applyFill="1" applyBorder="1" applyAlignment="1">
      <alignment horizontal="center" vertical="center"/>
    </xf>
    <xf numFmtId="0" fontId="13" fillId="48" borderId="21" xfId="2" applyFont="1" applyFill="1" applyBorder="1" applyAlignment="1">
      <alignment horizontal="center" vertical="center"/>
    </xf>
    <xf numFmtId="41" fontId="13" fillId="33" borderId="3" xfId="2" applyNumberFormat="1" applyFont="1" applyFill="1" applyBorder="1" applyAlignment="1">
      <alignment horizontal="left" vertical="center" wrapText="1"/>
    </xf>
    <xf numFmtId="41" fontId="9" fillId="2" borderId="3" xfId="2" applyNumberFormat="1" applyFont="1" applyFill="1" applyBorder="1" applyAlignment="1">
      <alignment horizontal="center" vertical="center" wrapText="1"/>
    </xf>
    <xf numFmtId="0" fontId="9" fillId="31" borderId="64" xfId="2" applyFont="1" applyFill="1" applyBorder="1" applyAlignment="1">
      <alignment horizontal="center" vertical="center"/>
    </xf>
    <xf numFmtId="0" fontId="9" fillId="31" borderId="95" xfId="2" applyFont="1" applyFill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41" fillId="2" borderId="18" xfId="2" applyFont="1" applyFill="1" applyBorder="1" applyAlignment="1">
      <alignment horizontal="center"/>
    </xf>
    <xf numFmtId="0" fontId="14" fillId="2" borderId="18" xfId="2" applyFont="1" applyFill="1" applyBorder="1" applyAlignment="1">
      <alignment horizontal="center"/>
    </xf>
    <xf numFmtId="0" fontId="9" fillId="31" borderId="61" xfId="2" applyFont="1" applyFill="1" applyBorder="1" applyAlignment="1">
      <alignment horizontal="center" vertical="center" wrapText="1"/>
    </xf>
    <xf numFmtId="0" fontId="9" fillId="31" borderId="62" xfId="2" applyFont="1" applyFill="1" applyBorder="1" applyAlignment="1">
      <alignment horizontal="center" vertical="center" wrapText="1"/>
    </xf>
    <xf numFmtId="0" fontId="9" fillId="31" borderId="58" xfId="2" applyFont="1" applyFill="1" applyBorder="1" applyAlignment="1">
      <alignment horizontal="center" vertical="center" wrapText="1"/>
    </xf>
    <xf numFmtId="41" fontId="38" fillId="45" borderId="19" xfId="2" applyNumberFormat="1" applyFont="1" applyFill="1" applyBorder="1" applyAlignment="1" applyProtection="1">
      <alignment horizontal="center" vertical="center" wrapText="1"/>
      <protection locked="0"/>
    </xf>
    <xf numFmtId="41" fontId="38" fillId="45" borderId="21" xfId="2" applyNumberFormat="1" applyFont="1" applyFill="1" applyBorder="1" applyAlignment="1" applyProtection="1">
      <alignment horizontal="center" vertical="center" wrapText="1"/>
      <protection locked="0"/>
    </xf>
    <xf numFmtId="0" fontId="96" fillId="3" borderId="0" xfId="2" applyFont="1" applyFill="1" applyBorder="1" applyAlignment="1">
      <alignment horizontal="center"/>
    </xf>
    <xf numFmtId="0" fontId="117" fillId="31" borderId="62" xfId="2" applyFont="1" applyFill="1" applyBorder="1" applyAlignment="1">
      <alignment horizontal="center" wrapText="1"/>
    </xf>
    <xf numFmtId="0" fontId="117" fillId="31" borderId="58" xfId="2" applyFont="1" applyFill="1" applyBorder="1" applyAlignment="1">
      <alignment horizontal="center" wrapText="1"/>
    </xf>
    <xf numFmtId="0" fontId="9" fillId="31" borderId="27" xfId="2" applyFont="1" applyFill="1" applyBorder="1" applyAlignment="1">
      <alignment horizontal="center" vertical="center" wrapText="1"/>
    </xf>
    <xf numFmtId="0" fontId="9" fillId="31" borderId="28" xfId="2" applyFont="1" applyFill="1" applyBorder="1" applyAlignment="1">
      <alignment horizontal="center" vertical="center" wrapText="1"/>
    </xf>
    <xf numFmtId="0" fontId="9" fillId="31" borderId="29" xfId="2" applyFont="1" applyFill="1" applyBorder="1" applyAlignment="1">
      <alignment horizontal="center" vertical="center" wrapText="1"/>
    </xf>
    <xf numFmtId="0" fontId="9" fillId="31" borderId="90" xfId="2" applyFont="1" applyFill="1" applyBorder="1" applyAlignment="1">
      <alignment horizontal="center" vertical="center" wrapText="1"/>
    </xf>
    <xf numFmtId="0" fontId="9" fillId="31" borderId="30" xfId="2" applyFont="1" applyFill="1" applyBorder="1" applyAlignment="1">
      <alignment horizontal="center" vertical="center" wrapText="1"/>
    </xf>
    <xf numFmtId="0" fontId="9" fillId="31" borderId="94" xfId="2" applyFont="1" applyFill="1" applyBorder="1" applyAlignment="1">
      <alignment horizontal="center" vertical="center" wrapText="1"/>
    </xf>
    <xf numFmtId="0" fontId="93" fillId="0" borderId="104" xfId="2" applyFont="1" applyBorder="1" applyAlignment="1">
      <alignment horizontal="right" vertical="top"/>
    </xf>
    <xf numFmtId="0" fontId="93" fillId="0" borderId="105" xfId="2" applyFont="1" applyBorder="1" applyAlignment="1">
      <alignment horizontal="right" vertical="top"/>
    </xf>
    <xf numFmtId="41" fontId="38" fillId="45" borderId="3" xfId="2" applyNumberFormat="1" applyFont="1" applyFill="1" applyBorder="1" applyAlignment="1" applyProtection="1">
      <alignment horizontal="center" vertical="center" wrapText="1"/>
      <protection locked="0"/>
    </xf>
    <xf numFmtId="0" fontId="51" fillId="3" borderId="0" xfId="2" applyFont="1" applyFill="1" applyBorder="1" applyAlignment="1">
      <alignment horizontal="center" wrapText="1"/>
    </xf>
    <xf numFmtId="41" fontId="15" fillId="33" borderId="19" xfId="2" applyNumberFormat="1" applyFont="1" applyFill="1" applyBorder="1" applyAlignment="1" applyProtection="1">
      <alignment horizontal="left" vertical="center" wrapText="1"/>
      <protection locked="0"/>
    </xf>
    <xf numFmtId="41" fontId="15" fillId="33" borderId="20" xfId="2" applyNumberFormat="1" applyFont="1" applyFill="1" applyBorder="1" applyAlignment="1" applyProtection="1">
      <alignment horizontal="left" vertical="center" wrapText="1"/>
      <protection locked="0"/>
    </xf>
    <xf numFmtId="41" fontId="15" fillId="33" borderId="21" xfId="2" applyNumberFormat="1" applyFont="1" applyFill="1" applyBorder="1" applyAlignment="1" applyProtection="1">
      <alignment horizontal="left" vertical="center" wrapText="1"/>
      <protection locked="0"/>
    </xf>
    <xf numFmtId="41" fontId="13" fillId="33" borderId="19" xfId="2" applyNumberFormat="1" applyFont="1" applyFill="1" applyBorder="1" applyAlignment="1" applyProtection="1">
      <alignment wrapText="1"/>
      <protection locked="0"/>
    </xf>
    <xf numFmtId="41" fontId="13" fillId="33" borderId="20" xfId="2" applyNumberFormat="1" applyFont="1" applyFill="1" applyBorder="1" applyAlignment="1" applyProtection="1">
      <alignment wrapText="1"/>
      <protection locked="0"/>
    </xf>
    <xf numFmtId="0" fontId="13" fillId="31" borderId="19" xfId="2" applyFont="1" applyFill="1" applyBorder="1" applyAlignment="1">
      <alignment horizontal="center" vertical="center" wrapText="1"/>
    </xf>
    <xf numFmtId="0" fontId="13" fillId="31" borderId="21" xfId="2" applyFont="1" applyFill="1" applyBorder="1" applyAlignment="1">
      <alignment horizontal="center" vertical="center" wrapText="1"/>
    </xf>
    <xf numFmtId="0" fontId="13" fillId="31" borderId="3" xfId="2" applyFont="1" applyFill="1" applyBorder="1" applyAlignment="1">
      <alignment horizontal="left" textRotation="45" wrapText="1"/>
    </xf>
    <xf numFmtId="41" fontId="15" fillId="44" borderId="3" xfId="2" applyNumberFormat="1" applyFont="1" applyFill="1" applyBorder="1" applyAlignment="1" applyProtection="1">
      <alignment horizontal="center" vertical="center" wrapText="1"/>
      <protection locked="0"/>
    </xf>
    <xf numFmtId="41" fontId="38" fillId="44" borderId="19" xfId="2" applyNumberFormat="1" applyFont="1" applyFill="1" applyBorder="1" applyAlignment="1" applyProtection="1">
      <alignment horizontal="center" vertical="center" wrapText="1"/>
      <protection locked="0"/>
    </xf>
    <xf numFmtId="41" fontId="38" fillId="44" borderId="21" xfId="2" applyNumberFormat="1" applyFont="1" applyFill="1" applyBorder="1" applyAlignment="1" applyProtection="1">
      <alignment horizontal="center" vertical="center" wrapText="1"/>
      <protection locked="0"/>
    </xf>
    <xf numFmtId="41" fontId="13" fillId="33" borderId="19" xfId="2" applyNumberFormat="1" applyFont="1" applyFill="1" applyBorder="1" applyAlignment="1" applyProtection="1">
      <alignment horizontal="left" vertical="center" wrapText="1"/>
      <protection locked="0"/>
    </xf>
    <xf numFmtId="41" fontId="13" fillId="33" borderId="2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40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50" fillId="2" borderId="44" xfId="2" applyFont="1" applyFill="1" applyBorder="1" applyAlignment="1">
      <alignment wrapText="1"/>
    </xf>
    <xf numFmtId="0" fontId="46" fillId="2" borderId="44" xfId="2" applyFont="1" applyFill="1" applyBorder="1" applyAlignment="1">
      <alignment wrapText="1"/>
    </xf>
    <xf numFmtId="0" fontId="13" fillId="33" borderId="19" xfId="2" applyFont="1" applyFill="1" applyBorder="1" applyAlignment="1">
      <alignment vertical="center"/>
    </xf>
    <xf numFmtId="0" fontId="13" fillId="33" borderId="20" xfId="2" applyFont="1" applyFill="1" applyBorder="1" applyAlignment="1">
      <alignment vertical="center"/>
    </xf>
    <xf numFmtId="0" fontId="13" fillId="33" borderId="21" xfId="2" applyFont="1" applyFill="1" applyBorder="1" applyAlignment="1">
      <alignment vertical="center"/>
    </xf>
    <xf numFmtId="165" fontId="13" fillId="0" borderId="40" xfId="57" applyNumberFormat="1" applyFont="1" applyBorder="1" applyAlignment="1">
      <alignment horizontal="center" vertical="center" wrapText="1"/>
    </xf>
    <xf numFmtId="165" fontId="13" fillId="0" borderId="41" xfId="57" applyNumberFormat="1" applyFont="1" applyBorder="1" applyAlignment="1">
      <alignment horizontal="center" vertical="center" wrapText="1"/>
    </xf>
    <xf numFmtId="165" fontId="13" fillId="33" borderId="19" xfId="57" applyNumberFormat="1" applyFont="1" applyFill="1" applyBorder="1" applyAlignment="1">
      <alignment vertical="center"/>
    </xf>
    <xf numFmtId="165" fontId="13" fillId="33" borderId="20" xfId="57" applyNumberFormat="1" applyFont="1" applyFill="1" applyBorder="1" applyAlignment="1">
      <alignment vertical="center"/>
    </xf>
    <xf numFmtId="165" fontId="13" fillId="33" borderId="21" xfId="57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horizontal="center"/>
    </xf>
    <xf numFmtId="0" fontId="10" fillId="2" borderId="0" xfId="2" applyFont="1" applyFill="1" applyAlignment="1">
      <alignment horizontal="right"/>
    </xf>
    <xf numFmtId="0" fontId="123" fillId="2" borderId="0" xfId="2" applyFont="1" applyFill="1" applyAlignment="1">
      <alignment horizontal="center" wrapText="1"/>
    </xf>
    <xf numFmtId="0" fontId="123" fillId="2" borderId="0" xfId="2" applyFont="1" applyFill="1" applyAlignment="1">
      <alignment horizontal="center"/>
    </xf>
    <xf numFmtId="0" fontId="151" fillId="2" borderId="0" xfId="2" applyFont="1" applyFill="1" applyBorder="1" applyAlignment="1">
      <alignment horizontal="left"/>
    </xf>
    <xf numFmtId="0" fontId="46" fillId="2" borderId="18" xfId="2" applyFont="1" applyFill="1" applyBorder="1" applyAlignment="1">
      <alignment horizontal="right"/>
    </xf>
    <xf numFmtId="0" fontId="13" fillId="33" borderId="34" xfId="2" applyFont="1" applyFill="1" applyBorder="1" applyAlignment="1">
      <alignment vertical="center"/>
    </xf>
    <xf numFmtId="0" fontId="13" fillId="33" borderId="35" xfId="2" applyFont="1" applyFill="1" applyBorder="1" applyAlignment="1">
      <alignment vertical="center"/>
    </xf>
    <xf numFmtId="0" fontId="13" fillId="33" borderId="77" xfId="2" applyFont="1" applyFill="1" applyBorder="1" applyAlignment="1">
      <alignment vertical="center"/>
    </xf>
    <xf numFmtId="0" fontId="9" fillId="2" borderId="19" xfId="2" applyFill="1" applyBorder="1" applyAlignment="1">
      <alignment horizontal="center"/>
    </xf>
    <xf numFmtId="0" fontId="9" fillId="2" borderId="20" xfId="2" applyFill="1" applyBorder="1" applyAlignment="1">
      <alignment horizontal="center"/>
    </xf>
    <xf numFmtId="0" fontId="9" fillId="2" borderId="21" xfId="2" applyFill="1" applyBorder="1" applyAlignment="1">
      <alignment horizontal="center"/>
    </xf>
    <xf numFmtId="0" fontId="57" fillId="3" borderId="18" xfId="2" applyFont="1" applyFill="1" applyBorder="1" applyAlignment="1">
      <alignment horizontal="left" vertical="center"/>
    </xf>
    <xf numFmtId="0" fontId="58" fillId="3" borderId="18" xfId="2" applyFont="1" applyFill="1" applyBorder="1" applyAlignment="1">
      <alignment horizontal="left" vertical="center"/>
    </xf>
  </cellXfs>
  <cellStyles count="6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58"/>
    <cellStyle name="Comma 2 3" xfId="59"/>
    <cellStyle name="Comma 3" xfId="57"/>
    <cellStyle name="Comma 4" xfId="64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55"/>
    <cellStyle name="Normal 3" xfId="41"/>
    <cellStyle name="Normal 3 10" xfId="65"/>
    <cellStyle name="Normal 3 2" xfId="53"/>
    <cellStyle name="Normal 4" xfId="2"/>
    <cellStyle name="Normal 4 2" xfId="48"/>
    <cellStyle name="Normal 4 2 2" xfId="54"/>
    <cellStyle name="Normal 5" xfId="51"/>
    <cellStyle name="Normal 6" xfId="52"/>
    <cellStyle name="Normal 6 2" xfId="60"/>
    <cellStyle name="Normal 7" xfId="56"/>
    <cellStyle name="Normal 8" xfId="61"/>
    <cellStyle name="Normal_Book1" xfId="50"/>
    <cellStyle name="Note 2" xfId="42"/>
    <cellStyle name="Note 2 2" xfId="62"/>
    <cellStyle name="Output 2" xfId="43"/>
    <cellStyle name="Percent" xfId="49" builtinId="5"/>
    <cellStyle name="Percent 2" xfId="44"/>
    <cellStyle name="Percent 2 2" xfId="63"/>
    <cellStyle name="Title 2" xfId="45"/>
    <cellStyle name="Total 2" xfId="46"/>
    <cellStyle name="Warning Text 2" xfId="47"/>
  </cellStyles>
  <dxfs count="0"/>
  <tableStyles count="0" defaultTableStyle="TableStyleMedium2" defaultPivotStyle="PivotStyleLight16"/>
  <colors>
    <mruColors>
      <color rgb="FFFFCCFF"/>
      <color rgb="FFFFFFCC"/>
      <color rgb="FF99FF66"/>
      <color rgb="FFCC9900"/>
      <color rgb="FF009900"/>
      <color rgb="FFCCCC00"/>
      <color rgb="FF00FF99"/>
      <color rgb="FFEEFB9F"/>
      <color rgb="FFDEFEB8"/>
      <color rgb="FF7CE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0</xdr:rowOff>
    </xdr:from>
    <xdr:to>
      <xdr:col>1</xdr:col>
      <xdr:colOff>419100</xdr:colOff>
      <xdr:row>5</xdr:row>
      <xdr:rowOff>120217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2" y="0"/>
          <a:ext cx="885823" cy="853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40"/>
  <sheetViews>
    <sheetView showGridLines="0" view="pageBreakPreview" zoomScale="115" zoomScaleSheetLayoutView="115" workbookViewId="0">
      <selection activeCell="B13" sqref="B13"/>
    </sheetView>
  </sheetViews>
  <sheetFormatPr defaultColWidth="11.42578125" defaultRowHeight="15.75"/>
  <cols>
    <col min="1" max="1" width="7.28515625" style="409" customWidth="1"/>
    <col min="2" max="2" width="63.85546875" style="409" customWidth="1"/>
    <col min="3" max="3" width="13.42578125" style="409" bestFit="1" customWidth="1"/>
    <col min="4" max="256" width="11.42578125" style="409"/>
    <col min="257" max="257" width="7.28515625" style="409" customWidth="1"/>
    <col min="258" max="258" width="65.85546875" style="409" customWidth="1"/>
    <col min="259" max="259" width="9.140625" style="409" customWidth="1"/>
    <col min="260" max="512" width="11.42578125" style="409"/>
    <col min="513" max="513" width="7.28515625" style="409" customWidth="1"/>
    <col min="514" max="514" width="65.85546875" style="409" customWidth="1"/>
    <col min="515" max="515" width="9.140625" style="409" customWidth="1"/>
    <col min="516" max="768" width="11.42578125" style="409"/>
    <col min="769" max="769" width="7.28515625" style="409" customWidth="1"/>
    <col min="770" max="770" width="65.85546875" style="409" customWidth="1"/>
    <col min="771" max="771" width="9.140625" style="409" customWidth="1"/>
    <col min="772" max="1024" width="11.42578125" style="409"/>
    <col min="1025" max="1025" width="7.28515625" style="409" customWidth="1"/>
    <col min="1026" max="1026" width="65.85546875" style="409" customWidth="1"/>
    <col min="1027" max="1027" width="9.140625" style="409" customWidth="1"/>
    <col min="1028" max="1280" width="11.42578125" style="409"/>
    <col min="1281" max="1281" width="7.28515625" style="409" customWidth="1"/>
    <col min="1282" max="1282" width="65.85546875" style="409" customWidth="1"/>
    <col min="1283" max="1283" width="9.140625" style="409" customWidth="1"/>
    <col min="1284" max="1536" width="11.42578125" style="409"/>
    <col min="1537" max="1537" width="7.28515625" style="409" customWidth="1"/>
    <col min="1538" max="1538" width="65.85546875" style="409" customWidth="1"/>
    <col min="1539" max="1539" width="9.140625" style="409" customWidth="1"/>
    <col min="1540" max="1792" width="11.42578125" style="409"/>
    <col min="1793" max="1793" width="7.28515625" style="409" customWidth="1"/>
    <col min="1794" max="1794" width="65.85546875" style="409" customWidth="1"/>
    <col min="1795" max="1795" width="9.140625" style="409" customWidth="1"/>
    <col min="1796" max="2048" width="11.42578125" style="409"/>
    <col min="2049" max="2049" width="7.28515625" style="409" customWidth="1"/>
    <col min="2050" max="2050" width="65.85546875" style="409" customWidth="1"/>
    <col min="2051" max="2051" width="9.140625" style="409" customWidth="1"/>
    <col min="2052" max="2304" width="11.42578125" style="409"/>
    <col min="2305" max="2305" width="7.28515625" style="409" customWidth="1"/>
    <col min="2306" max="2306" width="65.85546875" style="409" customWidth="1"/>
    <col min="2307" max="2307" width="9.140625" style="409" customWidth="1"/>
    <col min="2308" max="2560" width="11.42578125" style="409"/>
    <col min="2561" max="2561" width="7.28515625" style="409" customWidth="1"/>
    <col min="2562" max="2562" width="65.85546875" style="409" customWidth="1"/>
    <col min="2563" max="2563" width="9.140625" style="409" customWidth="1"/>
    <col min="2564" max="2816" width="11.42578125" style="409"/>
    <col min="2817" max="2817" width="7.28515625" style="409" customWidth="1"/>
    <col min="2818" max="2818" width="65.85546875" style="409" customWidth="1"/>
    <col min="2819" max="2819" width="9.140625" style="409" customWidth="1"/>
    <col min="2820" max="3072" width="11.42578125" style="409"/>
    <col min="3073" max="3073" width="7.28515625" style="409" customWidth="1"/>
    <col min="3074" max="3074" width="65.85546875" style="409" customWidth="1"/>
    <col min="3075" max="3075" width="9.140625" style="409" customWidth="1"/>
    <col min="3076" max="3328" width="11.42578125" style="409"/>
    <col min="3329" max="3329" width="7.28515625" style="409" customWidth="1"/>
    <col min="3330" max="3330" width="65.85546875" style="409" customWidth="1"/>
    <col min="3331" max="3331" width="9.140625" style="409" customWidth="1"/>
    <col min="3332" max="3584" width="11.42578125" style="409"/>
    <col min="3585" max="3585" width="7.28515625" style="409" customWidth="1"/>
    <col min="3586" max="3586" width="65.85546875" style="409" customWidth="1"/>
    <col min="3587" max="3587" width="9.140625" style="409" customWidth="1"/>
    <col min="3588" max="3840" width="11.42578125" style="409"/>
    <col min="3841" max="3841" width="7.28515625" style="409" customWidth="1"/>
    <col min="3842" max="3842" width="65.85546875" style="409" customWidth="1"/>
    <col min="3843" max="3843" width="9.140625" style="409" customWidth="1"/>
    <col min="3844" max="4096" width="11.42578125" style="409"/>
    <col min="4097" max="4097" width="7.28515625" style="409" customWidth="1"/>
    <col min="4098" max="4098" width="65.85546875" style="409" customWidth="1"/>
    <col min="4099" max="4099" width="9.140625" style="409" customWidth="1"/>
    <col min="4100" max="4352" width="11.42578125" style="409"/>
    <col min="4353" max="4353" width="7.28515625" style="409" customWidth="1"/>
    <col min="4354" max="4354" width="65.85546875" style="409" customWidth="1"/>
    <col min="4355" max="4355" width="9.140625" style="409" customWidth="1"/>
    <col min="4356" max="4608" width="11.42578125" style="409"/>
    <col min="4609" max="4609" width="7.28515625" style="409" customWidth="1"/>
    <col min="4610" max="4610" width="65.85546875" style="409" customWidth="1"/>
    <col min="4611" max="4611" width="9.140625" style="409" customWidth="1"/>
    <col min="4612" max="4864" width="11.42578125" style="409"/>
    <col min="4865" max="4865" width="7.28515625" style="409" customWidth="1"/>
    <col min="4866" max="4866" width="65.85546875" style="409" customWidth="1"/>
    <col min="4867" max="4867" width="9.140625" style="409" customWidth="1"/>
    <col min="4868" max="5120" width="11.42578125" style="409"/>
    <col min="5121" max="5121" width="7.28515625" style="409" customWidth="1"/>
    <col min="5122" max="5122" width="65.85546875" style="409" customWidth="1"/>
    <col min="5123" max="5123" width="9.140625" style="409" customWidth="1"/>
    <col min="5124" max="5376" width="11.42578125" style="409"/>
    <col min="5377" max="5377" width="7.28515625" style="409" customWidth="1"/>
    <col min="5378" max="5378" width="65.85546875" style="409" customWidth="1"/>
    <col min="5379" max="5379" width="9.140625" style="409" customWidth="1"/>
    <col min="5380" max="5632" width="11.42578125" style="409"/>
    <col min="5633" max="5633" width="7.28515625" style="409" customWidth="1"/>
    <col min="5634" max="5634" width="65.85546875" style="409" customWidth="1"/>
    <col min="5635" max="5635" width="9.140625" style="409" customWidth="1"/>
    <col min="5636" max="5888" width="11.42578125" style="409"/>
    <col min="5889" max="5889" width="7.28515625" style="409" customWidth="1"/>
    <col min="5890" max="5890" width="65.85546875" style="409" customWidth="1"/>
    <col min="5891" max="5891" width="9.140625" style="409" customWidth="1"/>
    <col min="5892" max="6144" width="11.42578125" style="409"/>
    <col min="6145" max="6145" width="7.28515625" style="409" customWidth="1"/>
    <col min="6146" max="6146" width="65.85546875" style="409" customWidth="1"/>
    <col min="6147" max="6147" width="9.140625" style="409" customWidth="1"/>
    <col min="6148" max="6400" width="11.42578125" style="409"/>
    <col min="6401" max="6401" width="7.28515625" style="409" customWidth="1"/>
    <col min="6402" max="6402" width="65.85546875" style="409" customWidth="1"/>
    <col min="6403" max="6403" width="9.140625" style="409" customWidth="1"/>
    <col min="6404" max="6656" width="11.42578125" style="409"/>
    <col min="6657" max="6657" width="7.28515625" style="409" customWidth="1"/>
    <col min="6658" max="6658" width="65.85546875" style="409" customWidth="1"/>
    <col min="6659" max="6659" width="9.140625" style="409" customWidth="1"/>
    <col min="6660" max="6912" width="11.42578125" style="409"/>
    <col min="6913" max="6913" width="7.28515625" style="409" customWidth="1"/>
    <col min="6914" max="6914" width="65.85546875" style="409" customWidth="1"/>
    <col min="6915" max="6915" width="9.140625" style="409" customWidth="1"/>
    <col min="6916" max="7168" width="11.42578125" style="409"/>
    <col min="7169" max="7169" width="7.28515625" style="409" customWidth="1"/>
    <col min="7170" max="7170" width="65.85546875" style="409" customWidth="1"/>
    <col min="7171" max="7171" width="9.140625" style="409" customWidth="1"/>
    <col min="7172" max="7424" width="11.42578125" style="409"/>
    <col min="7425" max="7425" width="7.28515625" style="409" customWidth="1"/>
    <col min="7426" max="7426" width="65.85546875" style="409" customWidth="1"/>
    <col min="7427" max="7427" width="9.140625" style="409" customWidth="1"/>
    <col min="7428" max="7680" width="11.42578125" style="409"/>
    <col min="7681" max="7681" width="7.28515625" style="409" customWidth="1"/>
    <col min="7682" max="7682" width="65.85546875" style="409" customWidth="1"/>
    <col min="7683" max="7683" width="9.140625" style="409" customWidth="1"/>
    <col min="7684" max="7936" width="11.42578125" style="409"/>
    <col min="7937" max="7937" width="7.28515625" style="409" customWidth="1"/>
    <col min="7938" max="7938" width="65.85546875" style="409" customWidth="1"/>
    <col min="7939" max="7939" width="9.140625" style="409" customWidth="1"/>
    <col min="7940" max="8192" width="11.42578125" style="409"/>
    <col min="8193" max="8193" width="7.28515625" style="409" customWidth="1"/>
    <col min="8194" max="8194" width="65.85546875" style="409" customWidth="1"/>
    <col min="8195" max="8195" width="9.140625" style="409" customWidth="1"/>
    <col min="8196" max="8448" width="11.42578125" style="409"/>
    <col min="8449" max="8449" width="7.28515625" style="409" customWidth="1"/>
    <col min="8450" max="8450" width="65.85546875" style="409" customWidth="1"/>
    <col min="8451" max="8451" width="9.140625" style="409" customWidth="1"/>
    <col min="8452" max="8704" width="11.42578125" style="409"/>
    <col min="8705" max="8705" width="7.28515625" style="409" customWidth="1"/>
    <col min="8706" max="8706" width="65.85546875" style="409" customWidth="1"/>
    <col min="8707" max="8707" width="9.140625" style="409" customWidth="1"/>
    <col min="8708" max="8960" width="11.42578125" style="409"/>
    <col min="8961" max="8961" width="7.28515625" style="409" customWidth="1"/>
    <col min="8962" max="8962" width="65.85546875" style="409" customWidth="1"/>
    <col min="8963" max="8963" width="9.140625" style="409" customWidth="1"/>
    <col min="8964" max="9216" width="11.42578125" style="409"/>
    <col min="9217" max="9217" width="7.28515625" style="409" customWidth="1"/>
    <col min="9218" max="9218" width="65.85546875" style="409" customWidth="1"/>
    <col min="9219" max="9219" width="9.140625" style="409" customWidth="1"/>
    <col min="9220" max="9472" width="11.42578125" style="409"/>
    <col min="9473" max="9473" width="7.28515625" style="409" customWidth="1"/>
    <col min="9474" max="9474" width="65.85546875" style="409" customWidth="1"/>
    <col min="9475" max="9475" width="9.140625" style="409" customWidth="1"/>
    <col min="9476" max="9728" width="11.42578125" style="409"/>
    <col min="9729" max="9729" width="7.28515625" style="409" customWidth="1"/>
    <col min="9730" max="9730" width="65.85546875" style="409" customWidth="1"/>
    <col min="9731" max="9731" width="9.140625" style="409" customWidth="1"/>
    <col min="9732" max="9984" width="11.42578125" style="409"/>
    <col min="9985" max="9985" width="7.28515625" style="409" customWidth="1"/>
    <col min="9986" max="9986" width="65.85546875" style="409" customWidth="1"/>
    <col min="9987" max="9987" width="9.140625" style="409" customWidth="1"/>
    <col min="9988" max="10240" width="11.42578125" style="409"/>
    <col min="10241" max="10241" width="7.28515625" style="409" customWidth="1"/>
    <col min="10242" max="10242" width="65.85546875" style="409" customWidth="1"/>
    <col min="10243" max="10243" width="9.140625" style="409" customWidth="1"/>
    <col min="10244" max="10496" width="11.42578125" style="409"/>
    <col min="10497" max="10497" width="7.28515625" style="409" customWidth="1"/>
    <col min="10498" max="10498" width="65.85546875" style="409" customWidth="1"/>
    <col min="10499" max="10499" width="9.140625" style="409" customWidth="1"/>
    <col min="10500" max="10752" width="11.42578125" style="409"/>
    <col min="10753" max="10753" width="7.28515625" style="409" customWidth="1"/>
    <col min="10754" max="10754" width="65.85546875" style="409" customWidth="1"/>
    <col min="10755" max="10755" width="9.140625" style="409" customWidth="1"/>
    <col min="10756" max="11008" width="11.42578125" style="409"/>
    <col min="11009" max="11009" width="7.28515625" style="409" customWidth="1"/>
    <col min="11010" max="11010" width="65.85546875" style="409" customWidth="1"/>
    <col min="11011" max="11011" width="9.140625" style="409" customWidth="1"/>
    <col min="11012" max="11264" width="11.42578125" style="409"/>
    <col min="11265" max="11265" width="7.28515625" style="409" customWidth="1"/>
    <col min="11266" max="11266" width="65.85546875" style="409" customWidth="1"/>
    <col min="11267" max="11267" width="9.140625" style="409" customWidth="1"/>
    <col min="11268" max="11520" width="11.42578125" style="409"/>
    <col min="11521" max="11521" width="7.28515625" style="409" customWidth="1"/>
    <col min="11522" max="11522" width="65.85546875" style="409" customWidth="1"/>
    <col min="11523" max="11523" width="9.140625" style="409" customWidth="1"/>
    <col min="11524" max="11776" width="11.42578125" style="409"/>
    <col min="11777" max="11777" width="7.28515625" style="409" customWidth="1"/>
    <col min="11778" max="11778" width="65.85546875" style="409" customWidth="1"/>
    <col min="11779" max="11779" width="9.140625" style="409" customWidth="1"/>
    <col min="11780" max="12032" width="11.42578125" style="409"/>
    <col min="12033" max="12033" width="7.28515625" style="409" customWidth="1"/>
    <col min="12034" max="12034" width="65.85546875" style="409" customWidth="1"/>
    <col min="12035" max="12035" width="9.140625" style="409" customWidth="1"/>
    <col min="12036" max="12288" width="11.42578125" style="409"/>
    <col min="12289" max="12289" width="7.28515625" style="409" customWidth="1"/>
    <col min="12290" max="12290" width="65.85546875" style="409" customWidth="1"/>
    <col min="12291" max="12291" width="9.140625" style="409" customWidth="1"/>
    <col min="12292" max="12544" width="11.42578125" style="409"/>
    <col min="12545" max="12545" width="7.28515625" style="409" customWidth="1"/>
    <col min="12546" max="12546" width="65.85546875" style="409" customWidth="1"/>
    <col min="12547" max="12547" width="9.140625" style="409" customWidth="1"/>
    <col min="12548" max="12800" width="11.42578125" style="409"/>
    <col min="12801" max="12801" width="7.28515625" style="409" customWidth="1"/>
    <col min="12802" max="12802" width="65.85546875" style="409" customWidth="1"/>
    <col min="12803" max="12803" width="9.140625" style="409" customWidth="1"/>
    <col min="12804" max="13056" width="11.42578125" style="409"/>
    <col min="13057" max="13057" width="7.28515625" style="409" customWidth="1"/>
    <col min="13058" max="13058" width="65.85546875" style="409" customWidth="1"/>
    <col min="13059" max="13059" width="9.140625" style="409" customWidth="1"/>
    <col min="13060" max="13312" width="11.42578125" style="409"/>
    <col min="13313" max="13313" width="7.28515625" style="409" customWidth="1"/>
    <col min="13314" max="13314" width="65.85546875" style="409" customWidth="1"/>
    <col min="13315" max="13315" width="9.140625" style="409" customWidth="1"/>
    <col min="13316" max="13568" width="11.42578125" style="409"/>
    <col min="13569" max="13569" width="7.28515625" style="409" customWidth="1"/>
    <col min="13570" max="13570" width="65.85546875" style="409" customWidth="1"/>
    <col min="13571" max="13571" width="9.140625" style="409" customWidth="1"/>
    <col min="13572" max="13824" width="11.42578125" style="409"/>
    <col min="13825" max="13825" width="7.28515625" style="409" customWidth="1"/>
    <col min="13826" max="13826" width="65.85546875" style="409" customWidth="1"/>
    <col min="13827" max="13827" width="9.140625" style="409" customWidth="1"/>
    <col min="13828" max="14080" width="11.42578125" style="409"/>
    <col min="14081" max="14081" width="7.28515625" style="409" customWidth="1"/>
    <col min="14082" max="14082" width="65.85546875" style="409" customWidth="1"/>
    <col min="14083" max="14083" width="9.140625" style="409" customWidth="1"/>
    <col min="14084" max="14336" width="11.42578125" style="409"/>
    <col min="14337" max="14337" width="7.28515625" style="409" customWidth="1"/>
    <col min="14338" max="14338" width="65.85546875" style="409" customWidth="1"/>
    <col min="14339" max="14339" width="9.140625" style="409" customWidth="1"/>
    <col min="14340" max="14592" width="11.42578125" style="409"/>
    <col min="14593" max="14593" width="7.28515625" style="409" customWidth="1"/>
    <col min="14594" max="14594" width="65.85546875" style="409" customWidth="1"/>
    <col min="14595" max="14595" width="9.140625" style="409" customWidth="1"/>
    <col min="14596" max="14848" width="11.42578125" style="409"/>
    <col min="14849" max="14849" width="7.28515625" style="409" customWidth="1"/>
    <col min="14850" max="14850" width="65.85546875" style="409" customWidth="1"/>
    <col min="14851" max="14851" width="9.140625" style="409" customWidth="1"/>
    <col min="14852" max="15104" width="11.42578125" style="409"/>
    <col min="15105" max="15105" width="7.28515625" style="409" customWidth="1"/>
    <col min="15106" max="15106" width="65.85546875" style="409" customWidth="1"/>
    <col min="15107" max="15107" width="9.140625" style="409" customWidth="1"/>
    <col min="15108" max="15360" width="11.42578125" style="409"/>
    <col min="15361" max="15361" width="7.28515625" style="409" customWidth="1"/>
    <col min="15362" max="15362" width="65.85546875" style="409" customWidth="1"/>
    <col min="15363" max="15363" width="9.140625" style="409" customWidth="1"/>
    <col min="15364" max="15616" width="11.42578125" style="409"/>
    <col min="15617" max="15617" width="7.28515625" style="409" customWidth="1"/>
    <col min="15618" max="15618" width="65.85546875" style="409" customWidth="1"/>
    <col min="15619" max="15619" width="9.140625" style="409" customWidth="1"/>
    <col min="15620" max="15872" width="11.42578125" style="409"/>
    <col min="15873" max="15873" width="7.28515625" style="409" customWidth="1"/>
    <col min="15874" max="15874" width="65.85546875" style="409" customWidth="1"/>
    <col min="15875" max="15875" width="9.140625" style="409" customWidth="1"/>
    <col min="15876" max="16128" width="11.42578125" style="409"/>
    <col min="16129" max="16129" width="7.28515625" style="409" customWidth="1"/>
    <col min="16130" max="16130" width="65.85546875" style="409" customWidth="1"/>
    <col min="16131" max="16131" width="9.140625" style="409" customWidth="1"/>
    <col min="16132" max="16384" width="11.42578125" style="409"/>
  </cols>
  <sheetData>
    <row r="1" spans="1:3" ht="20.25" customHeight="1"/>
    <row r="2" spans="1:3" ht="15" customHeight="1">
      <c r="A2" s="1215" t="s">
        <v>1131</v>
      </c>
      <c r="B2" s="1215"/>
      <c r="C2" s="1215"/>
    </row>
    <row r="3" spans="1:3" ht="10.5" customHeight="1"/>
    <row r="4" spans="1:3" ht="5.25" customHeight="1"/>
    <row r="5" spans="1:3" ht="6.75" customHeight="1"/>
    <row r="6" spans="1:3" ht="10.5" customHeight="1"/>
    <row r="7" spans="1:3" s="411" customFormat="1" ht="30.75" customHeight="1">
      <c r="A7" s="418" t="s">
        <v>1011</v>
      </c>
      <c r="B7" s="410" t="s">
        <v>1031</v>
      </c>
      <c r="C7" s="419" t="s">
        <v>1030</v>
      </c>
    </row>
    <row r="8" spans="1:3" s="411" customFormat="1" ht="8.25" customHeight="1">
      <c r="A8" s="1216"/>
      <c r="B8" s="1217"/>
      <c r="C8" s="1218"/>
    </row>
    <row r="9" spans="1:3" s="411" customFormat="1" ht="20.25" customHeight="1">
      <c r="A9" s="1219" t="s">
        <v>1019</v>
      </c>
      <c r="B9" s="1220"/>
      <c r="C9" s="1221"/>
    </row>
    <row r="10" spans="1:3" s="411" customFormat="1" ht="20.100000000000001" customHeight="1">
      <c r="A10" s="420">
        <v>1</v>
      </c>
      <c r="B10" s="421" t="s">
        <v>1012</v>
      </c>
      <c r="C10" s="422">
        <v>101</v>
      </c>
    </row>
    <row r="11" spans="1:3" s="411" customFormat="1" ht="20.100000000000001" customHeight="1">
      <c r="A11" s="412">
        <v>2</v>
      </c>
      <c r="B11" s="413" t="s">
        <v>1020</v>
      </c>
      <c r="C11" s="415" t="s">
        <v>1037</v>
      </c>
    </row>
    <row r="12" spans="1:3" s="411" customFormat="1" ht="20.100000000000001" customHeight="1">
      <c r="A12" s="412">
        <v>3</v>
      </c>
      <c r="B12" s="471" t="s">
        <v>1118</v>
      </c>
      <c r="C12" s="415" t="s">
        <v>1038</v>
      </c>
    </row>
    <row r="13" spans="1:3" s="411" customFormat="1" ht="20.100000000000001" customHeight="1">
      <c r="A13" s="412">
        <v>4</v>
      </c>
      <c r="B13" s="413" t="s">
        <v>1120</v>
      </c>
      <c r="C13" s="415">
        <v>103</v>
      </c>
    </row>
    <row r="14" spans="1:3" s="411" customFormat="1" ht="20.100000000000001" customHeight="1">
      <c r="A14" s="412">
        <v>5</v>
      </c>
      <c r="B14" s="413" t="s">
        <v>681</v>
      </c>
      <c r="C14" s="415">
        <v>104</v>
      </c>
    </row>
    <row r="15" spans="1:3" s="411" customFormat="1" ht="20.100000000000001" customHeight="1">
      <c r="A15" s="412">
        <v>6</v>
      </c>
      <c r="B15" s="413" t="s">
        <v>1068</v>
      </c>
      <c r="C15" s="415">
        <v>105</v>
      </c>
    </row>
    <row r="16" spans="1:3" s="411" customFormat="1" ht="20.100000000000001" customHeight="1">
      <c r="A16" s="412">
        <v>7</v>
      </c>
      <c r="B16" s="413" t="s">
        <v>1121</v>
      </c>
      <c r="C16" s="415" t="s">
        <v>1066</v>
      </c>
    </row>
    <row r="17" spans="1:3" s="411" customFormat="1" ht="7.5" customHeight="1">
      <c r="A17" s="1222"/>
      <c r="B17" s="1223"/>
      <c r="C17" s="1224"/>
    </row>
    <row r="18" spans="1:3" s="411" customFormat="1" ht="20.100000000000001" customHeight="1">
      <c r="A18" s="1225" t="s">
        <v>1024</v>
      </c>
      <c r="B18" s="1226"/>
      <c r="C18" s="1227"/>
    </row>
    <row r="19" spans="1:3" s="411" customFormat="1" ht="30" customHeight="1">
      <c r="A19" s="412">
        <v>8</v>
      </c>
      <c r="B19" s="414" t="s">
        <v>1110</v>
      </c>
      <c r="C19" s="415">
        <v>106</v>
      </c>
    </row>
    <row r="20" spans="1:3" s="411" customFormat="1" ht="30" customHeight="1">
      <c r="A20" s="412">
        <v>9</v>
      </c>
      <c r="B20" s="414" t="s">
        <v>1128</v>
      </c>
      <c r="C20" s="415" t="s">
        <v>1013</v>
      </c>
    </row>
    <row r="21" spans="1:3" s="411" customFormat="1" ht="30" customHeight="1">
      <c r="A21" s="412">
        <v>10</v>
      </c>
      <c r="B21" s="414" t="s">
        <v>1129</v>
      </c>
      <c r="C21" s="415" t="s">
        <v>1014</v>
      </c>
    </row>
    <row r="22" spans="1:3" s="411" customFormat="1" ht="8.25" customHeight="1">
      <c r="A22" s="1228"/>
      <c r="B22" s="1229"/>
      <c r="C22" s="1230"/>
    </row>
    <row r="23" spans="1:3" s="411" customFormat="1" ht="20.100000000000001" customHeight="1">
      <c r="A23" s="1225" t="s">
        <v>1023</v>
      </c>
      <c r="B23" s="1226"/>
      <c r="C23" s="1227"/>
    </row>
    <row r="24" spans="1:3" s="411" customFormat="1" ht="24.95" customHeight="1">
      <c r="A24" s="412">
        <v>11</v>
      </c>
      <c r="B24" s="414" t="s">
        <v>902</v>
      </c>
      <c r="C24" s="416" t="s">
        <v>1028</v>
      </c>
    </row>
    <row r="25" spans="1:3" s="411" customFormat="1" ht="30" customHeight="1">
      <c r="A25" s="412">
        <v>12</v>
      </c>
      <c r="B25" s="414" t="s">
        <v>1125</v>
      </c>
      <c r="C25" s="415" t="s">
        <v>1015</v>
      </c>
    </row>
    <row r="26" spans="1:3" s="411" customFormat="1" ht="30" customHeight="1">
      <c r="A26" s="412">
        <v>13</v>
      </c>
      <c r="B26" s="414" t="s">
        <v>1126</v>
      </c>
      <c r="C26" s="415" t="s">
        <v>1016</v>
      </c>
    </row>
    <row r="27" spans="1:3" s="411" customFormat="1" ht="30" customHeight="1">
      <c r="A27" s="412">
        <v>14</v>
      </c>
      <c r="B27" s="414" t="s">
        <v>1122</v>
      </c>
      <c r="C27" s="415" t="s">
        <v>1017</v>
      </c>
    </row>
    <row r="28" spans="1:3" s="411" customFormat="1" ht="30" customHeight="1">
      <c r="A28" s="412">
        <v>15</v>
      </c>
      <c r="B28" s="414" t="s">
        <v>1123</v>
      </c>
      <c r="C28" s="415" t="s">
        <v>1018</v>
      </c>
    </row>
    <row r="29" spans="1:3" s="411" customFormat="1" ht="30" customHeight="1">
      <c r="A29" s="412">
        <v>16</v>
      </c>
      <c r="B29" s="414" t="s">
        <v>1029</v>
      </c>
      <c r="C29" s="415" t="s">
        <v>1033</v>
      </c>
    </row>
    <row r="30" spans="1:3" s="411" customFormat="1" ht="7.5" customHeight="1">
      <c r="A30" s="1228"/>
      <c r="B30" s="1229"/>
      <c r="C30" s="1230"/>
    </row>
    <row r="31" spans="1:3" s="411" customFormat="1" ht="20.100000000000001" customHeight="1">
      <c r="A31" s="1225" t="s">
        <v>1021</v>
      </c>
      <c r="B31" s="1226"/>
      <c r="C31" s="1227"/>
    </row>
    <row r="32" spans="1:3" s="411" customFormat="1" ht="30" customHeight="1">
      <c r="A32" s="412">
        <v>17</v>
      </c>
      <c r="B32" s="414" t="s">
        <v>1032</v>
      </c>
      <c r="C32" s="417">
        <v>108</v>
      </c>
    </row>
    <row r="33" spans="1:3" s="411" customFormat="1" ht="30" customHeight="1">
      <c r="A33" s="412">
        <v>18</v>
      </c>
      <c r="B33" s="414" t="s">
        <v>1130</v>
      </c>
      <c r="C33" s="417">
        <v>109</v>
      </c>
    </row>
    <row r="34" spans="1:3" s="411" customFormat="1" ht="24.95" customHeight="1">
      <c r="A34" s="412">
        <v>19</v>
      </c>
      <c r="B34" s="414" t="s">
        <v>1116</v>
      </c>
      <c r="C34" s="417">
        <v>110</v>
      </c>
    </row>
    <row r="35" spans="1:3" s="411" customFormat="1" ht="24.95" customHeight="1">
      <c r="A35" s="412">
        <v>20</v>
      </c>
      <c r="B35" s="414" t="s">
        <v>295</v>
      </c>
      <c r="C35" s="417">
        <v>111</v>
      </c>
    </row>
    <row r="36" spans="1:3" s="411" customFormat="1" ht="24.95" customHeight="1">
      <c r="A36" s="412">
        <v>21</v>
      </c>
      <c r="B36" s="414" t="s">
        <v>331</v>
      </c>
      <c r="C36" s="417">
        <v>112</v>
      </c>
    </row>
    <row r="37" spans="1:3" s="411" customFormat="1" ht="7.5" customHeight="1">
      <c r="A37" s="1228"/>
      <c r="B37" s="1229"/>
      <c r="C37" s="1230"/>
    </row>
    <row r="38" spans="1:3" s="411" customFormat="1" ht="20.100000000000001" customHeight="1">
      <c r="A38" s="1225" t="s">
        <v>1022</v>
      </c>
      <c r="B38" s="1226"/>
      <c r="C38" s="1227"/>
    </row>
    <row r="39" spans="1:3" s="411" customFormat="1" ht="30" customHeight="1">
      <c r="A39" s="412">
        <v>22</v>
      </c>
      <c r="B39" s="414" t="s">
        <v>1127</v>
      </c>
      <c r="C39" s="417">
        <v>113</v>
      </c>
    </row>
    <row r="40" spans="1:3" s="411" customFormat="1" ht="30" customHeight="1">
      <c r="A40" s="423">
        <v>23</v>
      </c>
      <c r="B40" s="424" t="s">
        <v>1124</v>
      </c>
      <c r="C40" s="425">
        <v>114</v>
      </c>
    </row>
  </sheetData>
  <mergeCells count="11">
    <mergeCell ref="A31:C31"/>
    <mergeCell ref="A38:C38"/>
    <mergeCell ref="A23:C23"/>
    <mergeCell ref="A22:C22"/>
    <mergeCell ref="A37:C37"/>
    <mergeCell ref="A30:C30"/>
    <mergeCell ref="A2:C2"/>
    <mergeCell ref="A8:C8"/>
    <mergeCell ref="A9:C9"/>
    <mergeCell ref="A17:C17"/>
    <mergeCell ref="A18:C18"/>
  </mergeCells>
  <printOptions horizontalCentered="1"/>
  <pageMargins left="0.5" right="0.5" top="0.25" bottom="0" header="0.25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79"/>
  <sheetViews>
    <sheetView workbookViewId="0">
      <pane xSplit="2" ySplit="7" topLeftCell="C62" activePane="bottomRight" state="frozen"/>
      <selection pane="topRight" activeCell="C1" sqref="C1"/>
      <selection pane="bottomLeft" activeCell="A9" sqref="A9"/>
      <selection pane="bottomRight" activeCell="B79" sqref="B79"/>
    </sheetView>
  </sheetViews>
  <sheetFormatPr defaultRowHeight="15"/>
  <cols>
    <col min="1" max="1" width="13.85546875" bestFit="1" customWidth="1"/>
    <col min="2" max="2" width="33" customWidth="1"/>
    <col min="3" max="4" width="15.28515625" customWidth="1"/>
    <col min="5" max="5" width="0.140625" customWidth="1"/>
    <col min="6" max="6" width="11.28515625" customWidth="1"/>
    <col min="7" max="8" width="12.85546875" customWidth="1"/>
    <col min="9" max="9" width="14.42578125" customWidth="1"/>
    <col min="10" max="10" width="0.140625" customWidth="1"/>
    <col min="11" max="12" width="14.42578125" customWidth="1"/>
    <col min="13" max="13" width="17.140625" customWidth="1"/>
    <col min="14" max="14" width="12.85546875" bestFit="1" customWidth="1"/>
    <col min="15" max="15" width="13" customWidth="1"/>
    <col min="16" max="16" width="12" customWidth="1"/>
  </cols>
  <sheetData>
    <row r="1" spans="1:16" ht="18.9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963"/>
    </row>
    <row r="2" spans="1:16" ht="18.95" customHeight="1">
      <c r="A2" s="1283" t="s">
        <v>681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spans="1:16" ht="18.95" customHeight="1">
      <c r="A3" s="1261" t="s">
        <v>1486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</row>
    <row r="4" spans="1:16" ht="18.95" customHeight="1">
      <c r="A4" s="1270"/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</row>
    <row r="5" spans="1:16" ht="18.95" hidden="1" customHeight="1">
      <c r="A5" s="176"/>
      <c r="B5" s="176"/>
      <c r="C5" s="176"/>
      <c r="D5" s="176"/>
      <c r="E5" s="176"/>
      <c r="F5" s="176"/>
      <c r="G5" s="176"/>
      <c r="H5" s="176"/>
      <c r="I5" s="176"/>
      <c r="J5" s="795"/>
      <c r="K5" s="795"/>
      <c r="L5" s="795"/>
      <c r="M5" s="181" t="s">
        <v>682</v>
      </c>
    </row>
    <row r="6" spans="1:16" ht="44.25" customHeight="1">
      <c r="A6" s="1296" t="s">
        <v>0</v>
      </c>
      <c r="B6" s="1296" t="s">
        <v>858</v>
      </c>
      <c r="C6" s="1239" t="s">
        <v>1513</v>
      </c>
      <c r="D6" s="1252" t="s">
        <v>1511</v>
      </c>
      <c r="E6" s="1253"/>
      <c r="F6" s="1253"/>
      <c r="G6" s="1253"/>
      <c r="H6" s="1253"/>
      <c r="I6" s="1253"/>
      <c r="J6" s="1253"/>
      <c r="K6" s="1253"/>
      <c r="L6" s="1253"/>
      <c r="M6" s="1297" t="s">
        <v>1091</v>
      </c>
      <c r="N6" s="1232" t="s">
        <v>1519</v>
      </c>
      <c r="O6" s="1232" t="s">
        <v>1529</v>
      </c>
      <c r="P6" s="1232" t="s">
        <v>1530</v>
      </c>
    </row>
    <row r="7" spans="1:16" ht="38.25" customHeight="1">
      <c r="A7" s="1296"/>
      <c r="B7" s="1296"/>
      <c r="C7" s="1239"/>
      <c r="D7" s="523" t="s">
        <v>818</v>
      </c>
      <c r="E7" s="788" t="s">
        <v>819</v>
      </c>
      <c r="F7" s="788" t="s">
        <v>819</v>
      </c>
      <c r="G7" s="885" t="s">
        <v>1514</v>
      </c>
      <c r="H7" s="885" t="s">
        <v>1518</v>
      </c>
      <c r="I7" s="523" t="s">
        <v>819</v>
      </c>
      <c r="J7" s="788" t="s">
        <v>819</v>
      </c>
      <c r="K7" s="788" t="s">
        <v>819</v>
      </c>
      <c r="L7" s="1048" t="s">
        <v>1504</v>
      </c>
      <c r="M7" s="1307"/>
      <c r="N7" s="1232"/>
      <c r="O7" s="1232"/>
      <c r="P7" s="1232"/>
    </row>
    <row r="8" spans="1:16" ht="18.95" customHeight="1">
      <c r="A8" s="1287" t="s">
        <v>821</v>
      </c>
      <c r="B8" s="1288"/>
      <c r="C8" s="1154">
        <f t="shared" ref="C8" si="0">SUM(C9:C16)</f>
        <v>54.487000000000002</v>
      </c>
      <c r="D8" s="1154">
        <f>SUM(D9:D16)</f>
        <v>62.39799</v>
      </c>
      <c r="E8" s="1154">
        <f t="shared" ref="E8:H8" si="1">SUM(E9:E16)</f>
        <v>40.355580000000003</v>
      </c>
      <c r="F8" s="1154">
        <f t="shared" si="1"/>
        <v>22.92258</v>
      </c>
      <c r="G8" s="1154">
        <f t="shared" si="1"/>
        <v>37.991999999999997</v>
      </c>
      <c r="H8" s="1154">
        <f t="shared" si="1"/>
        <v>24.405990000000003</v>
      </c>
      <c r="I8" s="1154">
        <f>SUM(I9:I16)</f>
        <v>62.39799</v>
      </c>
      <c r="J8" s="1154">
        <f t="shared" ref="J8:L8" si="2">SUM(J9:J16)</f>
        <v>41.68074</v>
      </c>
      <c r="K8" s="1154">
        <f t="shared" si="2"/>
        <v>23.646180000000001</v>
      </c>
      <c r="L8" s="1154">
        <f t="shared" si="2"/>
        <v>0</v>
      </c>
      <c r="M8" s="1112">
        <f>SUM(M9:M16)</f>
        <v>65.326920000000001</v>
      </c>
      <c r="N8" s="1112">
        <f>SUM(N9:N16)</f>
        <v>66.983000000000004</v>
      </c>
      <c r="O8" s="1214"/>
      <c r="P8" s="561"/>
    </row>
    <row r="9" spans="1:16" ht="18.95" customHeight="1">
      <c r="A9" s="1028" t="s">
        <v>1</v>
      </c>
      <c r="B9" s="1028" t="s">
        <v>2</v>
      </c>
      <c r="C9" s="554">
        <v>54.487000000000002</v>
      </c>
      <c r="D9" s="1108">
        <f>62397990/1000000</f>
        <v>62.39799</v>
      </c>
      <c r="E9" s="554">
        <f>40355580/1000000</f>
        <v>40.355580000000003</v>
      </c>
      <c r="F9" s="554">
        <f>22922580/1000000</f>
        <v>22.92258</v>
      </c>
      <c r="G9" s="554">
        <v>37.991999999999997</v>
      </c>
      <c r="H9" s="554">
        <f>+D9-G9</f>
        <v>24.405990000000003</v>
      </c>
      <c r="I9" s="1108">
        <f>+G9+H9</f>
        <v>62.39799</v>
      </c>
      <c r="J9" s="554">
        <f>41680740/1000000</f>
        <v>41.68074</v>
      </c>
      <c r="K9" s="554">
        <f>23646180/1000000</f>
        <v>23.646180000000001</v>
      </c>
      <c r="L9" s="554"/>
      <c r="M9" s="554">
        <f t="shared" ref="M9:M16" si="3">+J9+K9</f>
        <v>65.326920000000001</v>
      </c>
      <c r="N9" s="1108">
        <v>66.983000000000004</v>
      </c>
    </row>
    <row r="10" spans="1:16" ht="18.95" hidden="1" customHeight="1">
      <c r="A10" s="986" t="s">
        <v>3</v>
      </c>
      <c r="B10" s="987" t="s">
        <v>4</v>
      </c>
      <c r="C10" s="1057"/>
      <c r="D10" s="988"/>
      <c r="E10" s="988"/>
      <c r="F10" s="988"/>
      <c r="G10" s="988"/>
      <c r="H10" s="988"/>
      <c r="I10" s="988">
        <f t="shared" ref="I10:I16" si="4">+E10+F10</f>
        <v>0</v>
      </c>
      <c r="J10" s="988"/>
      <c r="K10" s="1057"/>
      <c r="L10" s="1057"/>
      <c r="M10" s="1152">
        <f t="shared" si="3"/>
        <v>0</v>
      </c>
      <c r="N10" s="1119"/>
    </row>
    <row r="11" spans="1:16" ht="18.95" hidden="1" customHeight="1">
      <c r="A11" s="167" t="s">
        <v>5</v>
      </c>
      <c r="B11" s="168" t="s">
        <v>6</v>
      </c>
      <c r="C11" s="796"/>
      <c r="D11" s="503"/>
      <c r="E11" s="503"/>
      <c r="F11" s="503"/>
      <c r="G11" s="503"/>
      <c r="H11" s="503"/>
      <c r="I11" s="503">
        <f t="shared" si="4"/>
        <v>0</v>
      </c>
      <c r="J11" s="503"/>
      <c r="K11" s="796"/>
      <c r="L11" s="796"/>
      <c r="M11" s="504">
        <f t="shared" si="3"/>
        <v>0</v>
      </c>
      <c r="N11" s="1108"/>
    </row>
    <row r="12" spans="1:16" ht="18.95" hidden="1" customHeight="1">
      <c r="A12" s="167" t="s">
        <v>7</v>
      </c>
      <c r="B12" s="168" t="s">
        <v>8</v>
      </c>
      <c r="C12" s="796"/>
      <c r="D12" s="503"/>
      <c r="E12" s="503"/>
      <c r="F12" s="503"/>
      <c r="G12" s="503"/>
      <c r="H12" s="503"/>
      <c r="I12" s="503">
        <f t="shared" si="4"/>
        <v>0</v>
      </c>
      <c r="J12" s="503"/>
      <c r="K12" s="796"/>
      <c r="L12" s="796"/>
      <c r="M12" s="504">
        <f t="shared" si="3"/>
        <v>0</v>
      </c>
      <c r="N12" s="1108"/>
    </row>
    <row r="13" spans="1:16" ht="18.95" hidden="1" customHeight="1">
      <c r="A13" s="167" t="s">
        <v>9</v>
      </c>
      <c r="B13" s="168" t="s">
        <v>10</v>
      </c>
      <c r="C13" s="796"/>
      <c r="D13" s="503"/>
      <c r="E13" s="503"/>
      <c r="F13" s="503"/>
      <c r="G13" s="503"/>
      <c r="H13" s="503"/>
      <c r="I13" s="503">
        <f t="shared" si="4"/>
        <v>0</v>
      </c>
      <c r="J13" s="503"/>
      <c r="K13" s="796"/>
      <c r="L13" s="796"/>
      <c r="M13" s="504">
        <f t="shared" si="3"/>
        <v>0</v>
      </c>
      <c r="N13" s="1108"/>
    </row>
    <row r="14" spans="1:16" ht="18.95" hidden="1" customHeight="1">
      <c r="A14" s="167" t="s">
        <v>11</v>
      </c>
      <c r="B14" s="168" t="s">
        <v>12</v>
      </c>
      <c r="C14" s="796"/>
      <c r="D14" s="503"/>
      <c r="E14" s="503"/>
      <c r="F14" s="503"/>
      <c r="G14" s="503"/>
      <c r="H14" s="503"/>
      <c r="I14" s="503">
        <f t="shared" si="4"/>
        <v>0</v>
      </c>
      <c r="J14" s="503"/>
      <c r="K14" s="796"/>
      <c r="L14" s="796"/>
      <c r="M14" s="504">
        <f t="shared" si="3"/>
        <v>0</v>
      </c>
      <c r="N14" s="1108"/>
    </row>
    <row r="15" spans="1:16" ht="18.95" hidden="1" customHeight="1">
      <c r="A15" s="167" t="s">
        <v>13</v>
      </c>
      <c r="B15" s="168" t="s">
        <v>14</v>
      </c>
      <c r="C15" s="796"/>
      <c r="D15" s="503"/>
      <c r="E15" s="503"/>
      <c r="F15" s="503"/>
      <c r="G15" s="503"/>
      <c r="H15" s="503"/>
      <c r="I15" s="503">
        <f t="shared" si="4"/>
        <v>0</v>
      </c>
      <c r="J15" s="503"/>
      <c r="K15" s="796"/>
      <c r="L15" s="796"/>
      <c r="M15" s="504">
        <f t="shared" si="3"/>
        <v>0</v>
      </c>
      <c r="N15" s="1108"/>
    </row>
    <row r="16" spans="1:16" ht="18.95" hidden="1" customHeight="1">
      <c r="A16" s="167" t="s">
        <v>15</v>
      </c>
      <c r="B16" s="168" t="s">
        <v>16</v>
      </c>
      <c r="C16" s="796"/>
      <c r="D16" s="503"/>
      <c r="E16" s="503"/>
      <c r="F16" s="503"/>
      <c r="G16" s="503"/>
      <c r="H16" s="503"/>
      <c r="I16" s="503">
        <f t="shared" si="4"/>
        <v>0</v>
      </c>
      <c r="J16" s="503"/>
      <c r="K16" s="796"/>
      <c r="L16" s="796"/>
      <c r="M16" s="504">
        <f t="shared" si="3"/>
        <v>0</v>
      </c>
      <c r="N16" s="1108"/>
    </row>
    <row r="17" spans="1:14" ht="18.95" customHeight="1">
      <c r="A17" s="1289" t="s">
        <v>823</v>
      </c>
      <c r="B17" s="1290"/>
      <c r="C17" s="1156">
        <f t="shared" ref="C17" si="5">SUM(C18:C23)</f>
        <v>34.65</v>
      </c>
      <c r="D17" s="1156">
        <f>SUM(D18:D23)</f>
        <v>41.182169999999999</v>
      </c>
      <c r="E17" s="1156">
        <f t="shared" ref="E17:H17" si="6">SUM(E18:E23)</f>
        <v>21.27582</v>
      </c>
      <c r="F17" s="1156">
        <f t="shared" si="6"/>
        <v>21.070319999999999</v>
      </c>
      <c r="G17" s="1156">
        <f t="shared" si="6"/>
        <v>26.408000000000001</v>
      </c>
      <c r="H17" s="1156">
        <f t="shared" si="6"/>
        <v>14.774169999999998</v>
      </c>
      <c r="I17" s="1156">
        <f>SUM(I18:I23)</f>
        <v>41.182169999999999</v>
      </c>
      <c r="J17" s="1156">
        <f t="shared" ref="J17:L17" si="7">SUM(J18:J23)</f>
        <v>21.972660000000001</v>
      </c>
      <c r="K17" s="1156">
        <f t="shared" si="7"/>
        <v>21.812519999999999</v>
      </c>
      <c r="L17" s="1156">
        <f t="shared" si="7"/>
        <v>0</v>
      </c>
      <c r="M17" s="1157">
        <f>SUM(M18:M23)</f>
        <v>43.785179999999997</v>
      </c>
      <c r="N17" s="1155">
        <f>SUM(N18:N23)</f>
        <v>45.457999999999998</v>
      </c>
    </row>
    <row r="18" spans="1:14" ht="18.95" customHeight="1">
      <c r="A18" s="1028" t="s">
        <v>17</v>
      </c>
      <c r="B18" s="1028" t="s">
        <v>2</v>
      </c>
      <c r="C18" s="554">
        <v>34.65</v>
      </c>
      <c r="D18" s="1108">
        <f>41182170/1000000</f>
        <v>41.182169999999999</v>
      </c>
      <c r="E18" s="1080">
        <f>21275820/1000000</f>
        <v>21.27582</v>
      </c>
      <c r="F18" s="1080">
        <f>21070320/1000000</f>
        <v>21.070319999999999</v>
      </c>
      <c r="G18" s="1080">
        <v>26.408000000000001</v>
      </c>
      <c r="H18" s="554">
        <f>+D18-G18</f>
        <v>14.774169999999998</v>
      </c>
      <c r="I18" s="1108">
        <f>+G18+H18</f>
        <v>41.182169999999999</v>
      </c>
      <c r="J18" s="1080">
        <f>21972660/1000000</f>
        <v>21.972660000000001</v>
      </c>
      <c r="K18" s="554">
        <f>21812520/1000000</f>
        <v>21.812519999999999</v>
      </c>
      <c r="L18" s="554"/>
      <c r="M18" s="554">
        <f t="shared" ref="M18:M23" si="8">+J18+K18</f>
        <v>43.785179999999997</v>
      </c>
      <c r="N18" s="1108">
        <v>45.457999999999998</v>
      </c>
    </row>
    <row r="19" spans="1:14" ht="18.95" hidden="1" customHeight="1">
      <c r="A19" s="986" t="s">
        <v>18</v>
      </c>
      <c r="B19" s="987" t="s">
        <v>4</v>
      </c>
      <c r="C19" s="1057"/>
      <c r="D19" s="1159"/>
      <c r="E19" s="1159"/>
      <c r="F19" s="1159"/>
      <c r="G19" s="1159"/>
      <c r="H19" s="1159"/>
      <c r="I19" s="988">
        <f t="shared" ref="I19:I23" si="9">+E19+F19</f>
        <v>0</v>
      </c>
      <c r="J19" s="1159"/>
      <c r="K19" s="1057"/>
      <c r="L19" s="1057"/>
      <c r="M19" s="1152">
        <f t="shared" si="8"/>
        <v>0</v>
      </c>
      <c r="N19" s="1119"/>
    </row>
    <row r="20" spans="1:14" ht="18.95" hidden="1" customHeight="1">
      <c r="A20" s="167" t="s">
        <v>19</v>
      </c>
      <c r="B20" s="168" t="s">
        <v>6</v>
      </c>
      <c r="C20" s="796"/>
      <c r="D20" s="507"/>
      <c r="E20" s="507"/>
      <c r="F20" s="507"/>
      <c r="G20" s="507"/>
      <c r="H20" s="507"/>
      <c r="I20" s="503">
        <f t="shared" si="9"/>
        <v>0</v>
      </c>
      <c r="J20" s="507"/>
      <c r="K20" s="796"/>
      <c r="L20" s="796"/>
      <c r="M20" s="504">
        <f t="shared" si="8"/>
        <v>0</v>
      </c>
      <c r="N20" s="1108"/>
    </row>
    <row r="21" spans="1:14" ht="18.95" hidden="1" customHeight="1">
      <c r="A21" s="167" t="s">
        <v>20</v>
      </c>
      <c r="B21" s="168" t="s">
        <v>10</v>
      </c>
      <c r="C21" s="796"/>
      <c r="D21" s="507"/>
      <c r="E21" s="507"/>
      <c r="F21" s="507"/>
      <c r="G21" s="507"/>
      <c r="H21" s="507"/>
      <c r="I21" s="503">
        <f t="shared" si="9"/>
        <v>0</v>
      </c>
      <c r="J21" s="507"/>
      <c r="K21" s="796"/>
      <c r="L21" s="796"/>
      <c r="M21" s="504">
        <f t="shared" si="8"/>
        <v>0</v>
      </c>
      <c r="N21" s="1108"/>
    </row>
    <row r="22" spans="1:14" ht="18.95" hidden="1" customHeight="1">
      <c r="A22" s="167" t="s">
        <v>21</v>
      </c>
      <c r="B22" s="168" t="s">
        <v>12</v>
      </c>
      <c r="C22" s="796"/>
      <c r="D22" s="507"/>
      <c r="E22" s="507"/>
      <c r="F22" s="507"/>
      <c r="G22" s="507"/>
      <c r="H22" s="507"/>
      <c r="I22" s="503">
        <f t="shared" si="9"/>
        <v>0</v>
      </c>
      <c r="J22" s="507"/>
      <c r="K22" s="796"/>
      <c r="L22" s="796"/>
      <c r="M22" s="504">
        <f t="shared" si="8"/>
        <v>0</v>
      </c>
      <c r="N22" s="1108"/>
    </row>
    <row r="23" spans="1:14" ht="18.95" hidden="1" customHeight="1">
      <c r="A23" s="167" t="s">
        <v>22</v>
      </c>
      <c r="B23" s="168" t="s">
        <v>16</v>
      </c>
      <c r="C23" s="796"/>
      <c r="D23" s="507"/>
      <c r="E23" s="507"/>
      <c r="F23" s="507"/>
      <c r="G23" s="507"/>
      <c r="H23" s="507"/>
      <c r="I23" s="503">
        <f t="shared" si="9"/>
        <v>0</v>
      </c>
      <c r="J23" s="507"/>
      <c r="K23" s="796"/>
      <c r="L23" s="796"/>
      <c r="M23" s="504">
        <f t="shared" si="8"/>
        <v>0</v>
      </c>
      <c r="N23" s="1108"/>
    </row>
    <row r="24" spans="1:14" ht="18.95" customHeight="1">
      <c r="A24" s="1291" t="s">
        <v>23</v>
      </c>
      <c r="B24" s="1292"/>
      <c r="C24" s="508">
        <f t="shared" ref="C24" si="10">C17+C8</f>
        <v>89.137</v>
      </c>
      <c r="D24" s="508">
        <f>D17+D8</f>
        <v>103.58016000000001</v>
      </c>
      <c r="E24" s="508">
        <f t="shared" ref="E24:H24" si="11">E17+E8</f>
        <v>61.631399999999999</v>
      </c>
      <c r="F24" s="508">
        <f t="shared" si="11"/>
        <v>43.992899999999999</v>
      </c>
      <c r="G24" s="508">
        <f t="shared" si="11"/>
        <v>64.400000000000006</v>
      </c>
      <c r="H24" s="508">
        <f t="shared" si="11"/>
        <v>39.180160000000001</v>
      </c>
      <c r="I24" s="508">
        <f>I17+I8</f>
        <v>103.58016000000001</v>
      </c>
      <c r="J24" s="508">
        <f t="shared" ref="J24:L24" si="12">J17+J8</f>
        <v>63.653400000000005</v>
      </c>
      <c r="K24" s="508">
        <f t="shared" si="12"/>
        <v>45.4587</v>
      </c>
      <c r="L24" s="508">
        <f t="shared" si="12"/>
        <v>0</v>
      </c>
      <c r="M24" s="509">
        <f>M17+M8</f>
        <v>109.1121</v>
      </c>
      <c r="N24" s="1098">
        <f>N17+N8</f>
        <v>112.441</v>
      </c>
    </row>
    <row r="25" spans="1:14" ht="10.5" customHeight="1">
      <c r="A25" s="1280"/>
      <c r="B25" s="128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2"/>
      <c r="N25" s="1108"/>
    </row>
    <row r="26" spans="1:14" ht="18.95" customHeight="1">
      <c r="A26" s="1333" t="s">
        <v>822</v>
      </c>
      <c r="B26" s="1334"/>
      <c r="C26" s="505">
        <f t="shared" ref="C26" si="13">SUM(C27:C41)</f>
        <v>35.849000000000004</v>
      </c>
      <c r="D26" s="505">
        <f>SUM(D27:D41)</f>
        <v>48.980855999999996</v>
      </c>
      <c r="E26" s="505">
        <f t="shared" ref="E26:H26" si="14">SUM(E27:E41)</f>
        <v>25.336679999999994</v>
      </c>
      <c r="F26" s="505">
        <f t="shared" si="14"/>
        <v>18.997436</v>
      </c>
      <c r="G26" s="505">
        <f t="shared" si="14"/>
        <v>30.343</v>
      </c>
      <c r="H26" s="505">
        <f t="shared" si="14"/>
        <v>18.637855999999996</v>
      </c>
      <c r="I26" s="505">
        <f>SUM(I27:I41)</f>
        <v>48.980855999999996</v>
      </c>
      <c r="J26" s="505">
        <f t="shared" ref="J26:L26" si="15">SUM(J27:J41)</f>
        <v>25.741079999999997</v>
      </c>
      <c r="K26" s="505">
        <f t="shared" si="15"/>
        <v>19.390595999999999</v>
      </c>
      <c r="L26" s="505">
        <f t="shared" si="15"/>
        <v>0</v>
      </c>
      <c r="M26" s="506">
        <f>SUM(M27:M41)</f>
        <v>45.131676000000006</v>
      </c>
      <c r="N26" s="1097">
        <f>SUM(N27:N41)</f>
        <v>54.354000000000006</v>
      </c>
    </row>
    <row r="27" spans="1:14" ht="18.95" hidden="1" customHeight="1">
      <c r="A27" s="982" t="s">
        <v>24</v>
      </c>
      <c r="B27" s="983" t="s">
        <v>25</v>
      </c>
      <c r="C27" s="1056"/>
      <c r="D27" s="984"/>
      <c r="E27" s="984"/>
      <c r="F27" s="984"/>
      <c r="G27" s="984"/>
      <c r="H27" s="984"/>
      <c r="I27" s="984">
        <f t="shared" ref="I27:I41" si="16">+E27+F27</f>
        <v>0</v>
      </c>
      <c r="J27" s="984"/>
      <c r="K27" s="1056"/>
      <c r="L27" s="1056"/>
      <c r="M27" s="1160">
        <f t="shared" ref="M27:M41" si="17">+J27+K27</f>
        <v>0</v>
      </c>
      <c r="N27" s="1123"/>
    </row>
    <row r="28" spans="1:14" ht="18.95" customHeight="1">
      <c r="A28" s="1028" t="s">
        <v>26</v>
      </c>
      <c r="B28" s="1028" t="s">
        <v>27</v>
      </c>
      <c r="C28" s="554">
        <v>3.6779999999999999</v>
      </c>
      <c r="D28" s="554">
        <v>3.7000199999999999</v>
      </c>
      <c r="E28" s="554">
        <f>2329830/1000000</f>
        <v>2.3298299999999998</v>
      </c>
      <c r="F28" s="554">
        <f>2191722/1000000</f>
        <v>2.1917219999999999</v>
      </c>
      <c r="G28" s="554">
        <v>1.696</v>
      </c>
      <c r="H28" s="554">
        <f t="shared" ref="H28:H40" si="18">+D28-G28</f>
        <v>2.0040199999999997</v>
      </c>
      <c r="I28" s="1108">
        <f t="shared" ref="I28:I40" si="19">+G28+H28</f>
        <v>3.7000199999999994</v>
      </c>
      <c r="J28" s="554">
        <f>2329830/1000000</f>
        <v>2.3298299999999998</v>
      </c>
      <c r="K28" s="554">
        <f>2191722/1000000</f>
        <v>2.1917219999999999</v>
      </c>
      <c r="L28" s="554"/>
      <c r="M28" s="554">
        <f t="shared" si="17"/>
        <v>4.5215519999999998</v>
      </c>
      <c r="N28" s="1108">
        <v>4.7050000000000001</v>
      </c>
    </row>
    <row r="29" spans="1:14" ht="18.95" customHeight="1">
      <c r="A29" s="1028" t="s">
        <v>28</v>
      </c>
      <c r="B29" s="1028" t="s">
        <v>29</v>
      </c>
      <c r="C29" s="554">
        <v>8.2129999999999992</v>
      </c>
      <c r="D29" s="554">
        <v>9.7528020000000009</v>
      </c>
      <c r="E29" s="554">
        <f>5918754/1000000</f>
        <v>5.9187539999999998</v>
      </c>
      <c r="F29" s="554">
        <f>4778610/1000000</f>
        <v>4.7786099999999996</v>
      </c>
      <c r="G29" s="554">
        <v>6.6260000000000003</v>
      </c>
      <c r="H29" s="554">
        <f t="shared" si="18"/>
        <v>3.1268020000000005</v>
      </c>
      <c r="I29" s="1108">
        <f t="shared" si="19"/>
        <v>9.7528020000000009</v>
      </c>
      <c r="J29" s="554">
        <f>5918754/1000000</f>
        <v>5.9187539999999998</v>
      </c>
      <c r="K29" s="554">
        <f>4778610/1000000</f>
        <v>4.7786099999999996</v>
      </c>
      <c r="L29" s="554"/>
      <c r="M29" s="554">
        <f t="shared" si="17"/>
        <v>10.697364</v>
      </c>
      <c r="N29" s="1108">
        <v>10.81</v>
      </c>
    </row>
    <row r="30" spans="1:14" ht="18.95" hidden="1" customHeight="1">
      <c r="A30" s="1028" t="s">
        <v>30</v>
      </c>
      <c r="B30" s="1028" t="s">
        <v>31</v>
      </c>
      <c r="C30" s="554"/>
      <c r="D30" s="554"/>
      <c r="E30" s="554"/>
      <c r="F30" s="554"/>
      <c r="G30" s="554"/>
      <c r="H30" s="554">
        <f t="shared" si="18"/>
        <v>0</v>
      </c>
      <c r="I30" s="1108">
        <f t="shared" si="19"/>
        <v>0</v>
      </c>
      <c r="J30" s="554"/>
      <c r="K30" s="554"/>
      <c r="L30" s="554"/>
      <c r="M30" s="554">
        <f t="shared" si="17"/>
        <v>0</v>
      </c>
      <c r="N30" s="1108"/>
    </row>
    <row r="31" spans="1:14" ht="18.95" hidden="1" customHeight="1">
      <c r="A31" s="1028" t="s">
        <v>32</v>
      </c>
      <c r="B31" s="1028" t="s">
        <v>33</v>
      </c>
      <c r="C31" s="554"/>
      <c r="D31" s="554"/>
      <c r="E31" s="554"/>
      <c r="F31" s="554"/>
      <c r="G31" s="554"/>
      <c r="H31" s="554">
        <f t="shared" si="18"/>
        <v>0</v>
      </c>
      <c r="I31" s="1108">
        <f t="shared" si="19"/>
        <v>0</v>
      </c>
      <c r="J31" s="554"/>
      <c r="K31" s="554"/>
      <c r="L31" s="554"/>
      <c r="M31" s="554">
        <f t="shared" si="17"/>
        <v>0</v>
      </c>
      <c r="N31" s="1108"/>
    </row>
    <row r="32" spans="1:14" ht="18.95" hidden="1" customHeight="1">
      <c r="A32" s="1028" t="s">
        <v>34</v>
      </c>
      <c r="B32" s="1028" t="s">
        <v>35</v>
      </c>
      <c r="C32" s="554"/>
      <c r="D32" s="554"/>
      <c r="E32" s="554"/>
      <c r="F32" s="554"/>
      <c r="G32" s="554"/>
      <c r="H32" s="554">
        <f t="shared" si="18"/>
        <v>0</v>
      </c>
      <c r="I32" s="1108">
        <f t="shared" si="19"/>
        <v>0</v>
      </c>
      <c r="J32" s="554"/>
      <c r="K32" s="554"/>
      <c r="L32" s="554"/>
      <c r="M32" s="554">
        <f t="shared" si="17"/>
        <v>0</v>
      </c>
      <c r="N32" s="1108"/>
    </row>
    <row r="33" spans="1:14" ht="18.95" customHeight="1">
      <c r="A33" s="1028" t="s">
        <v>1076</v>
      </c>
      <c r="B33" s="1028" t="s">
        <v>1077</v>
      </c>
      <c r="C33" s="554"/>
      <c r="D33" s="554"/>
      <c r="E33" s="554"/>
      <c r="F33" s="554"/>
      <c r="G33" s="554"/>
      <c r="H33" s="554">
        <f t="shared" si="18"/>
        <v>0</v>
      </c>
      <c r="I33" s="1108">
        <f t="shared" si="19"/>
        <v>0</v>
      </c>
      <c r="J33" s="554"/>
      <c r="K33" s="554"/>
      <c r="L33" s="554"/>
      <c r="M33" s="554">
        <f t="shared" si="17"/>
        <v>0</v>
      </c>
      <c r="N33" s="1108"/>
    </row>
    <row r="34" spans="1:14" ht="18.95" hidden="1" customHeight="1">
      <c r="A34" s="1028" t="s">
        <v>1132</v>
      </c>
      <c r="B34" s="1028" t="s">
        <v>1133</v>
      </c>
      <c r="C34" s="554"/>
      <c r="D34" s="554"/>
      <c r="E34" s="554"/>
      <c r="F34" s="554"/>
      <c r="G34" s="554"/>
      <c r="H34" s="554">
        <f t="shared" si="18"/>
        <v>0</v>
      </c>
      <c r="I34" s="1108">
        <f t="shared" si="19"/>
        <v>0</v>
      </c>
      <c r="J34" s="554"/>
      <c r="K34" s="554"/>
      <c r="L34" s="554"/>
      <c r="M34" s="554">
        <f t="shared" si="17"/>
        <v>0</v>
      </c>
      <c r="N34" s="1108"/>
    </row>
    <row r="35" spans="1:14" ht="18.95" hidden="1" customHeight="1">
      <c r="A35" s="1028" t="s">
        <v>824</v>
      </c>
      <c r="B35" s="1028" t="s">
        <v>1075</v>
      </c>
      <c r="C35" s="554"/>
      <c r="D35" s="554"/>
      <c r="E35" s="554"/>
      <c r="F35" s="554"/>
      <c r="G35" s="554"/>
      <c r="H35" s="554">
        <f t="shared" si="18"/>
        <v>0</v>
      </c>
      <c r="I35" s="1108">
        <f t="shared" si="19"/>
        <v>0</v>
      </c>
      <c r="J35" s="554"/>
      <c r="K35" s="554"/>
      <c r="L35" s="554"/>
      <c r="M35" s="554">
        <f t="shared" si="17"/>
        <v>0</v>
      </c>
      <c r="N35" s="1108"/>
    </row>
    <row r="36" spans="1:14" ht="18.95" customHeight="1">
      <c r="A36" s="1028" t="s">
        <v>1005</v>
      </c>
      <c r="B36" s="1028" t="s">
        <v>1073</v>
      </c>
      <c r="C36" s="554">
        <v>7.0469999999999997</v>
      </c>
      <c r="D36" s="554">
        <v>7.923324</v>
      </c>
      <c r="E36" s="554">
        <f>4899468/1000000</f>
        <v>4.8994679999999997</v>
      </c>
      <c r="F36" s="554">
        <f>3455964/1000000</f>
        <v>3.4559639999999998</v>
      </c>
      <c r="G36" s="554">
        <v>4.9450000000000003</v>
      </c>
      <c r="H36" s="554">
        <f t="shared" si="18"/>
        <v>2.9783239999999997</v>
      </c>
      <c r="I36" s="1108">
        <f t="shared" si="19"/>
        <v>7.923324</v>
      </c>
      <c r="J36" s="554">
        <f>4899468/1000000</f>
        <v>4.8994679999999997</v>
      </c>
      <c r="K36" s="554">
        <f>3455964/1000000</f>
        <v>3.4559639999999998</v>
      </c>
      <c r="L36" s="554"/>
      <c r="M36" s="554">
        <f t="shared" si="17"/>
        <v>8.3554320000000004</v>
      </c>
      <c r="N36" s="1108">
        <v>8.3770000000000007</v>
      </c>
    </row>
    <row r="37" spans="1:14" ht="18.95" customHeight="1">
      <c r="A37" s="1028" t="s">
        <v>1006</v>
      </c>
      <c r="B37" s="1028" t="s">
        <v>1074</v>
      </c>
      <c r="C37" s="554">
        <v>8.9120000000000008</v>
      </c>
      <c r="D37" s="554">
        <v>10.145892</v>
      </c>
      <c r="E37" s="554">
        <f>6020064/1000000</f>
        <v>6.0200639999999996</v>
      </c>
      <c r="F37" s="554">
        <f>4293720/1000000</f>
        <v>4.2937200000000004</v>
      </c>
      <c r="G37" s="554">
        <v>6.4390000000000001</v>
      </c>
      <c r="H37" s="554">
        <f t="shared" si="18"/>
        <v>3.7068919999999999</v>
      </c>
      <c r="I37" s="1108">
        <f t="shared" si="19"/>
        <v>10.145892</v>
      </c>
      <c r="J37" s="554">
        <f>6222264/1000000</f>
        <v>6.222264</v>
      </c>
      <c r="K37" s="554">
        <f>4440300/1000000</f>
        <v>4.4402999999999997</v>
      </c>
      <c r="L37" s="554"/>
      <c r="M37" s="554">
        <f t="shared" si="17"/>
        <v>10.662564</v>
      </c>
      <c r="N37" s="1108">
        <v>10.994</v>
      </c>
    </row>
    <row r="38" spans="1:14" ht="18.95" customHeight="1">
      <c r="A38" s="1028" t="s">
        <v>1115</v>
      </c>
      <c r="B38" s="1028" t="s">
        <v>1114</v>
      </c>
      <c r="C38" s="554">
        <v>7.7220000000000004</v>
      </c>
      <c r="D38" s="554">
        <v>10.145892</v>
      </c>
      <c r="E38" s="1201">
        <f>6020064/1000000</f>
        <v>6.0200639999999996</v>
      </c>
      <c r="F38" s="1201">
        <f>4193720/1000000</f>
        <v>4.1937199999999999</v>
      </c>
      <c r="G38" s="1201">
        <v>6.4390000000000001</v>
      </c>
      <c r="H38" s="554">
        <f t="shared" si="18"/>
        <v>3.7068919999999999</v>
      </c>
      <c r="I38" s="1108">
        <f t="shared" si="19"/>
        <v>10.145892</v>
      </c>
      <c r="J38" s="1201">
        <f>6222264/1000000</f>
        <v>6.222264</v>
      </c>
      <c r="K38" s="554">
        <f>4440300/1000000</f>
        <v>4.4402999999999997</v>
      </c>
      <c r="L38" s="554"/>
      <c r="M38" s="554">
        <f t="shared" si="17"/>
        <v>10.662564</v>
      </c>
      <c r="N38" s="1108">
        <v>10.994</v>
      </c>
    </row>
    <row r="39" spans="1:14" ht="18.95" customHeight="1">
      <c r="A39" s="1028" t="s">
        <v>1506</v>
      </c>
      <c r="B39" s="1028" t="s">
        <v>1507</v>
      </c>
      <c r="C39" s="554"/>
      <c r="D39" s="554">
        <v>7.0861260000000001</v>
      </c>
      <c r="E39" s="1201"/>
      <c r="F39" s="1201"/>
      <c r="G39" s="554">
        <v>4.0069999999999997</v>
      </c>
      <c r="H39" s="554">
        <f t="shared" si="18"/>
        <v>3.0791260000000005</v>
      </c>
      <c r="I39" s="1108">
        <f t="shared" si="19"/>
        <v>7.0861260000000001</v>
      </c>
      <c r="J39" s="1201"/>
      <c r="K39" s="554"/>
      <c r="L39" s="554"/>
      <c r="M39" s="554"/>
      <c r="N39" s="1108">
        <v>8.2309999999999999</v>
      </c>
    </row>
    <row r="40" spans="1:14" ht="18.95" customHeight="1">
      <c r="A40" s="1028" t="s">
        <v>36</v>
      </c>
      <c r="B40" s="1028" t="s">
        <v>37</v>
      </c>
      <c r="C40" s="554">
        <v>0.27700000000000002</v>
      </c>
      <c r="D40" s="554">
        <v>0.2268</v>
      </c>
      <c r="E40" s="554">
        <f>148500/1000000</f>
        <v>0.14849999999999999</v>
      </c>
      <c r="F40" s="554">
        <f>83700/1000000</f>
        <v>8.3699999999999997E-2</v>
      </c>
      <c r="G40" s="554">
        <v>0.191</v>
      </c>
      <c r="H40" s="554">
        <f t="shared" si="18"/>
        <v>3.5799999999999998E-2</v>
      </c>
      <c r="I40" s="1108">
        <f t="shared" si="19"/>
        <v>0.2268</v>
      </c>
      <c r="J40" s="554">
        <f>148500/1000000</f>
        <v>0.14849999999999999</v>
      </c>
      <c r="K40" s="554">
        <f>83700/1000000</f>
        <v>8.3699999999999997E-2</v>
      </c>
      <c r="L40" s="554"/>
      <c r="M40" s="554">
        <f t="shared" si="17"/>
        <v>0.23219999999999999</v>
      </c>
      <c r="N40" s="1108">
        <v>0.24299999999999999</v>
      </c>
    </row>
    <row r="41" spans="1:14" ht="18.95" hidden="1" customHeight="1">
      <c r="A41" s="986" t="s">
        <v>38</v>
      </c>
      <c r="B41" s="987" t="s">
        <v>39</v>
      </c>
      <c r="C41" s="1057"/>
      <c r="D41" s="988"/>
      <c r="E41" s="988"/>
      <c r="F41" s="988"/>
      <c r="G41" s="988"/>
      <c r="H41" s="988"/>
      <c r="I41" s="988">
        <f t="shared" si="16"/>
        <v>0</v>
      </c>
      <c r="J41" s="988"/>
      <c r="K41" s="1057"/>
      <c r="L41" s="1057"/>
      <c r="M41" s="1152">
        <f t="shared" si="17"/>
        <v>0</v>
      </c>
      <c r="N41" s="1119"/>
    </row>
    <row r="42" spans="1:14" ht="18.95" customHeight="1">
      <c r="A42" s="1293" t="s">
        <v>74</v>
      </c>
      <c r="B42" s="1294"/>
      <c r="C42" s="505">
        <f t="shared" ref="C42" si="20">SUM(C43:C61)</f>
        <v>15.552999999999999</v>
      </c>
      <c r="D42" s="505">
        <f>SUM(D43:D61)</f>
        <v>19.500069</v>
      </c>
      <c r="E42" s="505">
        <f t="shared" ref="E42:H42" si="21">SUM(E43:E61)</f>
        <v>11.389691999999998</v>
      </c>
      <c r="F42" s="505">
        <f t="shared" si="21"/>
        <v>8.9506020000000017</v>
      </c>
      <c r="G42" s="505">
        <f t="shared" si="21"/>
        <v>9.7689999999999984</v>
      </c>
      <c r="H42" s="505">
        <f t="shared" si="21"/>
        <v>10.115069000000004</v>
      </c>
      <c r="I42" s="505">
        <f>SUM(I43:I61)</f>
        <v>19.884069</v>
      </c>
      <c r="J42" s="505">
        <f t="shared" ref="J42:L42" si="22">SUM(J43:J61)</f>
        <v>11.466527999999998</v>
      </c>
      <c r="K42" s="505">
        <f t="shared" si="22"/>
        <v>9.0071460000000005</v>
      </c>
      <c r="L42" s="505">
        <f t="shared" si="22"/>
        <v>0</v>
      </c>
      <c r="M42" s="506">
        <f>SUM(M43:M61)</f>
        <v>20.473673999999999</v>
      </c>
      <c r="N42" s="1097">
        <f>SUM(N43:N61)</f>
        <v>13.778</v>
      </c>
    </row>
    <row r="43" spans="1:14" ht="18.95" hidden="1" customHeight="1">
      <c r="A43" s="982" t="s">
        <v>40</v>
      </c>
      <c r="B43" s="983" t="s">
        <v>41</v>
      </c>
      <c r="C43" s="984"/>
      <c r="D43" s="984"/>
      <c r="E43" s="984"/>
      <c r="F43" s="984"/>
      <c r="G43" s="984"/>
      <c r="H43" s="984"/>
      <c r="I43" s="984">
        <f t="shared" ref="I43:I61" si="23">+E43+F43</f>
        <v>0</v>
      </c>
      <c r="J43" s="1056"/>
      <c r="K43" s="1056"/>
      <c r="L43" s="1056"/>
      <c r="M43" s="1160">
        <f t="shared" ref="M43:M61" si="24">+J43+K43</f>
        <v>0</v>
      </c>
      <c r="N43" s="1123"/>
    </row>
    <row r="44" spans="1:14" ht="25.5">
      <c r="A44" s="1028" t="s">
        <v>42</v>
      </c>
      <c r="B44" s="1028" t="s">
        <v>43</v>
      </c>
      <c r="C44" s="554">
        <f>0.24+0.139</f>
        <v>0.379</v>
      </c>
      <c r="D44" s="554">
        <v>0.36</v>
      </c>
      <c r="E44" s="554">
        <f>30000/1000000</f>
        <v>0.03</v>
      </c>
      <c r="F44" s="554">
        <f>330000/1000000</f>
        <v>0.33</v>
      </c>
      <c r="G44" s="554">
        <f>0.18+0.135</f>
        <v>0.315</v>
      </c>
      <c r="H44" s="554">
        <f t="shared" ref="H44:H56" si="25">+D44-G44</f>
        <v>4.4999999999999984E-2</v>
      </c>
      <c r="I44" s="1108">
        <f t="shared" ref="I44:I56" si="26">+G44+H44</f>
        <v>0.36</v>
      </c>
      <c r="J44" s="554">
        <f>30000/1000000</f>
        <v>0.03</v>
      </c>
      <c r="K44" s="554">
        <f>330000/1000000</f>
        <v>0.33</v>
      </c>
      <c r="L44" s="554"/>
      <c r="M44" s="554">
        <f t="shared" si="24"/>
        <v>0.36</v>
      </c>
      <c r="N44" s="1108">
        <v>0.42</v>
      </c>
    </row>
    <row r="45" spans="1:14" ht="18.95" customHeight="1">
      <c r="A45" s="1028" t="s">
        <v>44</v>
      </c>
      <c r="B45" s="1028" t="s">
        <v>45</v>
      </c>
      <c r="C45" s="554">
        <v>15.081</v>
      </c>
      <c r="D45" s="554">
        <v>18.610569000000002</v>
      </c>
      <c r="E45" s="554">
        <f>11299692/1000000</f>
        <v>11.299692</v>
      </c>
      <c r="F45" s="554">
        <f>8599602/1000000</f>
        <v>8.5996020000000009</v>
      </c>
      <c r="G45" s="554">
        <v>9.1999999999999993</v>
      </c>
      <c r="H45" s="554">
        <f t="shared" si="25"/>
        <v>9.4105690000000024</v>
      </c>
      <c r="I45" s="1108">
        <f t="shared" si="26"/>
        <v>18.610569000000002</v>
      </c>
      <c r="J45" s="554">
        <f>11376528/1000000</f>
        <v>11.376528</v>
      </c>
      <c r="K45" s="554">
        <f>8656146/1000000</f>
        <v>8.6561459999999997</v>
      </c>
      <c r="L45" s="554"/>
      <c r="M45" s="554">
        <f t="shared" si="24"/>
        <v>20.032674</v>
      </c>
      <c r="N45" s="1108">
        <v>12.321</v>
      </c>
    </row>
    <row r="46" spans="1:14" ht="18.95" hidden="1" customHeight="1">
      <c r="A46" s="1028" t="s">
        <v>46</v>
      </c>
      <c r="B46" s="1028" t="s">
        <v>47</v>
      </c>
      <c r="C46" s="554"/>
      <c r="D46" s="554"/>
      <c r="E46" s="554"/>
      <c r="F46" s="554"/>
      <c r="G46" s="554"/>
      <c r="H46" s="554">
        <f t="shared" si="25"/>
        <v>0</v>
      </c>
      <c r="I46" s="1108">
        <f t="shared" si="26"/>
        <v>0</v>
      </c>
      <c r="J46" s="554"/>
      <c r="K46" s="554"/>
      <c r="L46" s="554"/>
      <c r="M46" s="554">
        <f t="shared" si="24"/>
        <v>0</v>
      </c>
      <c r="N46" s="1108"/>
    </row>
    <row r="47" spans="1:14" ht="18.95" customHeight="1">
      <c r="A47" s="1028" t="s">
        <v>48</v>
      </c>
      <c r="B47" s="1028" t="s">
        <v>49</v>
      </c>
      <c r="C47" s="554">
        <v>4.2000000000000003E-2</v>
      </c>
      <c r="D47" s="554">
        <v>4.9500000000000002E-2</v>
      </c>
      <c r="E47" s="554">
        <f>36000/1000000</f>
        <v>3.5999999999999997E-2</v>
      </c>
      <c r="F47" s="554">
        <f>21000/1000000</f>
        <v>2.1000000000000001E-2</v>
      </c>
      <c r="G47" s="554">
        <v>2.5999999999999999E-2</v>
      </c>
      <c r="H47" s="554">
        <f t="shared" si="25"/>
        <v>2.3500000000000004E-2</v>
      </c>
      <c r="I47" s="1108">
        <f t="shared" si="26"/>
        <v>4.9500000000000002E-2</v>
      </c>
      <c r="J47" s="554">
        <f>36000/1000000</f>
        <v>3.5999999999999997E-2</v>
      </c>
      <c r="K47" s="554">
        <f>21000/1000000</f>
        <v>2.1000000000000001E-2</v>
      </c>
      <c r="L47" s="554"/>
      <c r="M47" s="554">
        <f t="shared" si="24"/>
        <v>5.6999999999999995E-2</v>
      </c>
      <c r="N47" s="1108">
        <v>5.7000000000000002E-2</v>
      </c>
    </row>
    <row r="48" spans="1:14" ht="18.95" customHeight="1">
      <c r="A48" s="1028" t="s">
        <v>50</v>
      </c>
      <c r="B48" s="1028" t="s">
        <v>51</v>
      </c>
      <c r="C48" s="554">
        <v>3.0000000000000001E-3</v>
      </c>
      <c r="D48" s="554"/>
      <c r="E48" s="554"/>
      <c r="F48" s="554"/>
      <c r="G48" s="554"/>
      <c r="H48" s="554">
        <f t="shared" si="25"/>
        <v>0</v>
      </c>
      <c r="I48" s="1108">
        <f t="shared" si="26"/>
        <v>0</v>
      </c>
      <c r="J48" s="554"/>
      <c r="K48" s="554"/>
      <c r="L48" s="554"/>
      <c r="M48" s="554">
        <f t="shared" si="24"/>
        <v>0</v>
      </c>
      <c r="N48" s="1108"/>
    </row>
    <row r="49" spans="1:16" ht="18.95" hidden="1" customHeight="1">
      <c r="A49" s="1028" t="s">
        <v>52</v>
      </c>
      <c r="B49" s="1028" t="s">
        <v>53</v>
      </c>
      <c r="C49" s="554"/>
      <c r="D49" s="554"/>
      <c r="E49" s="554"/>
      <c r="F49" s="554"/>
      <c r="G49" s="554"/>
      <c r="H49" s="554">
        <f t="shared" si="25"/>
        <v>0</v>
      </c>
      <c r="I49" s="1108">
        <f t="shared" si="26"/>
        <v>0</v>
      </c>
      <c r="J49" s="554"/>
      <c r="K49" s="554"/>
      <c r="L49" s="554"/>
      <c r="M49" s="554">
        <f t="shared" si="24"/>
        <v>0</v>
      </c>
      <c r="N49" s="1108"/>
    </row>
    <row r="50" spans="1:16" ht="18.95" hidden="1" customHeight="1">
      <c r="A50" s="1028" t="s">
        <v>54</v>
      </c>
      <c r="B50" s="1028" t="s">
        <v>55</v>
      </c>
      <c r="C50" s="554"/>
      <c r="D50" s="554"/>
      <c r="E50" s="554"/>
      <c r="F50" s="554"/>
      <c r="G50" s="554"/>
      <c r="H50" s="554">
        <f t="shared" si="25"/>
        <v>0</v>
      </c>
      <c r="I50" s="1108">
        <f t="shared" si="26"/>
        <v>0</v>
      </c>
      <c r="J50" s="554"/>
      <c r="K50" s="554"/>
      <c r="L50" s="554"/>
      <c r="M50" s="554">
        <f t="shared" si="24"/>
        <v>0</v>
      </c>
      <c r="N50" s="1108"/>
    </row>
    <row r="51" spans="1:16" ht="18.95" hidden="1" customHeight="1">
      <c r="A51" s="1028" t="s">
        <v>56</v>
      </c>
      <c r="B51" s="1028" t="s">
        <v>57</v>
      </c>
      <c r="C51" s="554"/>
      <c r="D51" s="554"/>
      <c r="E51" s="554"/>
      <c r="F51" s="554"/>
      <c r="G51" s="554"/>
      <c r="H51" s="554">
        <f t="shared" si="25"/>
        <v>0</v>
      </c>
      <c r="I51" s="1108">
        <f t="shared" si="26"/>
        <v>0</v>
      </c>
      <c r="J51" s="554"/>
      <c r="K51" s="554"/>
      <c r="L51" s="554"/>
      <c r="M51" s="554">
        <f t="shared" si="24"/>
        <v>0</v>
      </c>
      <c r="N51" s="1108"/>
    </row>
    <row r="52" spans="1:16" ht="18.95" hidden="1" customHeight="1">
      <c r="A52" s="1028" t="s">
        <v>58</v>
      </c>
      <c r="B52" s="1028" t="s">
        <v>59</v>
      </c>
      <c r="C52" s="554"/>
      <c r="D52" s="554"/>
      <c r="E52" s="554"/>
      <c r="F52" s="554"/>
      <c r="G52" s="554"/>
      <c r="H52" s="554">
        <f t="shared" si="25"/>
        <v>0</v>
      </c>
      <c r="I52" s="1108">
        <f t="shared" si="26"/>
        <v>0</v>
      </c>
      <c r="J52" s="554"/>
      <c r="K52" s="554"/>
      <c r="L52" s="554"/>
      <c r="M52" s="554">
        <f t="shared" si="24"/>
        <v>0</v>
      </c>
      <c r="N52" s="1108"/>
    </row>
    <row r="53" spans="1:16" ht="18.95" hidden="1" customHeight="1">
      <c r="A53" s="1028" t="s">
        <v>60</v>
      </c>
      <c r="B53" s="1028" t="s">
        <v>61</v>
      </c>
      <c r="C53" s="554"/>
      <c r="D53" s="554"/>
      <c r="E53" s="554"/>
      <c r="F53" s="554"/>
      <c r="G53" s="554"/>
      <c r="H53" s="554">
        <f t="shared" si="25"/>
        <v>0</v>
      </c>
      <c r="I53" s="1108">
        <f t="shared" si="26"/>
        <v>0</v>
      </c>
      <c r="J53" s="554"/>
      <c r="K53" s="554"/>
      <c r="L53" s="554"/>
      <c r="M53" s="554">
        <f t="shared" si="24"/>
        <v>0</v>
      </c>
      <c r="N53" s="1108"/>
    </row>
    <row r="54" spans="1:16" ht="18.95" hidden="1" customHeight="1">
      <c r="A54" s="1028" t="s">
        <v>62</v>
      </c>
      <c r="B54" s="1028" t="s">
        <v>63</v>
      </c>
      <c r="C54" s="554"/>
      <c r="D54" s="554"/>
      <c r="E54" s="554"/>
      <c r="F54" s="554"/>
      <c r="G54" s="554"/>
      <c r="H54" s="554">
        <f t="shared" si="25"/>
        <v>0</v>
      </c>
      <c r="I54" s="1108">
        <f t="shared" si="26"/>
        <v>0</v>
      </c>
      <c r="J54" s="554"/>
      <c r="K54" s="554"/>
      <c r="L54" s="554"/>
      <c r="M54" s="554">
        <f t="shared" si="24"/>
        <v>0</v>
      </c>
      <c r="N54" s="1108"/>
    </row>
    <row r="55" spans="1:16" ht="18.95" customHeight="1">
      <c r="A55" s="1028"/>
      <c r="B55" s="1028" t="s">
        <v>1515</v>
      </c>
      <c r="C55" s="554"/>
      <c r="D55" s="554"/>
      <c r="E55" s="554"/>
      <c r="F55" s="554"/>
      <c r="G55" s="554">
        <v>0.192</v>
      </c>
      <c r="H55" s="554">
        <v>0.192</v>
      </c>
      <c r="I55" s="1108">
        <f t="shared" si="26"/>
        <v>0.38400000000000001</v>
      </c>
      <c r="J55" s="554"/>
      <c r="K55" s="554"/>
      <c r="L55" s="554"/>
      <c r="M55" s="554"/>
      <c r="N55" s="1108">
        <v>0.5</v>
      </c>
    </row>
    <row r="56" spans="1:16" ht="25.5">
      <c r="A56" s="1028" t="s">
        <v>64</v>
      </c>
      <c r="B56" s="1028" t="s">
        <v>857</v>
      </c>
      <c r="C56" s="554">
        <v>4.8000000000000001E-2</v>
      </c>
      <c r="D56" s="554">
        <v>0.48</v>
      </c>
      <c r="E56" s="554">
        <f>24000/1000000</f>
        <v>2.4E-2</v>
      </c>
      <c r="F56" s="554"/>
      <c r="G56" s="554">
        <v>3.5999999999999997E-2</v>
      </c>
      <c r="H56" s="554">
        <f t="shared" si="25"/>
        <v>0.44400000000000001</v>
      </c>
      <c r="I56" s="1108">
        <f t="shared" si="26"/>
        <v>0.48</v>
      </c>
      <c r="J56" s="554">
        <f>24000/1000000</f>
        <v>2.4E-2</v>
      </c>
      <c r="K56" s="554"/>
      <c r="L56" s="554"/>
      <c r="M56" s="554">
        <f t="shared" si="24"/>
        <v>2.4E-2</v>
      </c>
      <c r="N56" s="1202">
        <v>0.48</v>
      </c>
    </row>
    <row r="57" spans="1:16" ht="18.95" hidden="1" customHeight="1">
      <c r="A57" s="986" t="s">
        <v>65</v>
      </c>
      <c r="B57" s="987" t="s">
        <v>66</v>
      </c>
      <c r="C57" s="1057"/>
      <c r="D57" s="988"/>
      <c r="E57" s="988"/>
      <c r="F57" s="988"/>
      <c r="G57" s="988"/>
      <c r="H57" s="988"/>
      <c r="I57" s="988">
        <f t="shared" si="23"/>
        <v>0</v>
      </c>
      <c r="J57" s="1057"/>
      <c r="K57" s="1057"/>
      <c r="L57" s="1057"/>
      <c r="M57" s="1152">
        <f t="shared" si="24"/>
        <v>0</v>
      </c>
      <c r="N57" s="1119"/>
    </row>
    <row r="58" spans="1:16" ht="18.95" hidden="1" customHeight="1">
      <c r="A58" s="167" t="s">
        <v>67</v>
      </c>
      <c r="B58" s="168" t="s">
        <v>68</v>
      </c>
      <c r="C58" s="796"/>
      <c r="D58" s="503"/>
      <c r="E58" s="503"/>
      <c r="F58" s="503"/>
      <c r="G58" s="503"/>
      <c r="H58" s="503"/>
      <c r="I58" s="503">
        <f t="shared" si="23"/>
        <v>0</v>
      </c>
      <c r="J58" s="796"/>
      <c r="K58" s="796"/>
      <c r="L58" s="796"/>
      <c r="M58" s="504">
        <f t="shared" si="24"/>
        <v>0</v>
      </c>
      <c r="N58" s="1108"/>
    </row>
    <row r="59" spans="1:16" ht="18.95" hidden="1" customHeight="1">
      <c r="A59" s="167" t="s">
        <v>69</v>
      </c>
      <c r="B59" s="168" t="s">
        <v>70</v>
      </c>
      <c r="C59" s="796"/>
      <c r="D59" s="503"/>
      <c r="E59" s="503"/>
      <c r="F59" s="503"/>
      <c r="G59" s="503"/>
      <c r="H59" s="503"/>
      <c r="I59" s="503">
        <f t="shared" si="23"/>
        <v>0</v>
      </c>
      <c r="J59" s="796"/>
      <c r="K59" s="796"/>
      <c r="L59" s="796"/>
      <c r="M59" s="504">
        <f t="shared" si="24"/>
        <v>0</v>
      </c>
      <c r="N59" s="1108"/>
    </row>
    <row r="60" spans="1:16" ht="18.95" hidden="1" customHeight="1">
      <c r="A60" s="167" t="s">
        <v>71</v>
      </c>
      <c r="B60" s="168" t="s">
        <v>72</v>
      </c>
      <c r="C60" s="796"/>
      <c r="D60" s="503"/>
      <c r="E60" s="503"/>
      <c r="F60" s="503"/>
      <c r="G60" s="503"/>
      <c r="H60" s="503"/>
      <c r="I60" s="503">
        <f t="shared" si="23"/>
        <v>0</v>
      </c>
      <c r="J60" s="796"/>
      <c r="K60" s="796"/>
      <c r="L60" s="796"/>
      <c r="M60" s="504">
        <f t="shared" si="24"/>
        <v>0</v>
      </c>
      <c r="N60" s="1108"/>
    </row>
    <row r="61" spans="1:16" ht="18.95" hidden="1" customHeight="1">
      <c r="A61" s="167" t="s">
        <v>73</v>
      </c>
      <c r="B61" s="168" t="s">
        <v>16</v>
      </c>
      <c r="C61" s="796"/>
      <c r="D61" s="503"/>
      <c r="E61" s="503"/>
      <c r="F61" s="503"/>
      <c r="G61" s="503"/>
      <c r="H61" s="503"/>
      <c r="I61" s="503">
        <f t="shared" si="23"/>
        <v>0</v>
      </c>
      <c r="J61" s="796"/>
      <c r="K61" s="796"/>
      <c r="L61" s="796"/>
      <c r="M61" s="504">
        <f t="shared" si="24"/>
        <v>0</v>
      </c>
      <c r="N61" s="1108"/>
    </row>
    <row r="62" spans="1:16" ht="18.95" customHeight="1">
      <c r="A62" s="1327" t="s">
        <v>75</v>
      </c>
      <c r="B62" s="1328"/>
      <c r="C62" s="510">
        <f t="shared" ref="C62" si="27">C42+C26</f>
        <v>51.402000000000001</v>
      </c>
      <c r="D62" s="510">
        <f>D42+D26</f>
        <v>68.480924999999999</v>
      </c>
      <c r="E62" s="510">
        <f t="shared" ref="E62:H62" si="28">E42+E26</f>
        <v>36.726371999999991</v>
      </c>
      <c r="F62" s="510">
        <f t="shared" si="28"/>
        <v>27.948038000000004</v>
      </c>
      <c r="G62" s="510">
        <f t="shared" si="28"/>
        <v>40.111999999999995</v>
      </c>
      <c r="H62" s="510">
        <f t="shared" si="28"/>
        <v>28.752924999999998</v>
      </c>
      <c r="I62" s="510">
        <f>I42+I26</f>
        <v>68.864924999999999</v>
      </c>
      <c r="J62" s="510">
        <f t="shared" ref="J62:L62" si="29">J42+J26</f>
        <v>37.207607999999993</v>
      </c>
      <c r="K62" s="510">
        <f t="shared" si="29"/>
        <v>28.397742000000001</v>
      </c>
      <c r="L62" s="510">
        <f t="shared" si="29"/>
        <v>0</v>
      </c>
      <c r="M62" s="511">
        <f>M42+M26</f>
        <v>65.605350000000001</v>
      </c>
      <c r="N62" s="985">
        <f>N42+N26</f>
        <v>68.132000000000005</v>
      </c>
    </row>
    <row r="63" spans="1:16" ht="9.75" customHeight="1">
      <c r="A63" s="1280"/>
      <c r="B63" s="1281"/>
      <c r="C63" s="1281"/>
      <c r="D63" s="1281"/>
      <c r="E63" s="1281"/>
      <c r="F63" s="1281"/>
      <c r="G63" s="1281"/>
      <c r="H63" s="1281"/>
      <c r="I63" s="1281"/>
      <c r="J63" s="1281"/>
      <c r="K63" s="1281"/>
      <c r="L63" s="1281"/>
      <c r="M63" s="1282"/>
      <c r="N63" s="1108"/>
    </row>
    <row r="64" spans="1:16" ht="18.95" customHeight="1">
      <c r="A64" s="1329" t="s">
        <v>91</v>
      </c>
      <c r="B64" s="1330"/>
      <c r="C64" s="1203">
        <f t="shared" ref="C64:D64" si="30">SUM(C65:C73)</f>
        <v>5.3599999999999994</v>
      </c>
      <c r="D64" s="1203">
        <f t="shared" si="30"/>
        <v>9.1402000000000001</v>
      </c>
      <c r="E64" s="1203">
        <f t="shared" ref="E64:I64" si="31">SUM(E65:E73)</f>
        <v>2.1600000000000001E-2</v>
      </c>
      <c r="F64" s="1203">
        <f t="shared" si="31"/>
        <v>2.0400000000000001E-2</v>
      </c>
      <c r="G64" s="1203">
        <f t="shared" si="31"/>
        <v>4.1749999999999998</v>
      </c>
      <c r="H64" s="1203">
        <f t="shared" si="31"/>
        <v>4.9652000000000003</v>
      </c>
      <c r="I64" s="1203">
        <f t="shared" si="31"/>
        <v>9.1402000000000001</v>
      </c>
      <c r="J64" s="1203">
        <f t="shared" ref="J64:L64" si="32">SUM(J65:J73)</f>
        <v>2.1600000000000001E-2</v>
      </c>
      <c r="K64" s="1203">
        <f t="shared" si="32"/>
        <v>2.0400000000000001E-2</v>
      </c>
      <c r="L64" s="1203">
        <f t="shared" si="32"/>
        <v>0</v>
      </c>
      <c r="M64" s="1204">
        <f>SUM(M65:M73)</f>
        <v>9.3920000000000012</v>
      </c>
      <c r="N64" s="1205">
        <f>SUM(N65:N73)</f>
        <v>9.4600000000000009</v>
      </c>
      <c r="O64" s="985">
        <f t="shared" ref="O64:P64" si="33">SUM(O65:O73)</f>
        <v>4.7300000000000004</v>
      </c>
      <c r="P64" s="985">
        <f t="shared" si="33"/>
        <v>4.7300000000000004</v>
      </c>
    </row>
    <row r="65" spans="1:16" ht="18.95" customHeight="1">
      <c r="A65" s="1028" t="s">
        <v>76</v>
      </c>
      <c r="B65" s="1028" t="s">
        <v>77</v>
      </c>
      <c r="C65" s="554">
        <v>7.6999999999999999E-2</v>
      </c>
      <c r="D65" s="554">
        <v>0.1</v>
      </c>
      <c r="E65" s="554"/>
      <c r="F65" s="554"/>
      <c r="G65" s="554">
        <v>6.4000000000000001E-2</v>
      </c>
      <c r="H65" s="554">
        <f t="shared" ref="H65:H73" si="34">+D65-G65</f>
        <v>3.6000000000000004E-2</v>
      </c>
      <c r="I65" s="1108">
        <f t="shared" ref="I65:I73" si="35">+G65+H65</f>
        <v>0.1</v>
      </c>
      <c r="J65" s="554"/>
      <c r="K65" s="554"/>
      <c r="L65" s="554"/>
      <c r="M65" s="554">
        <f>+J65+K65</f>
        <v>0</v>
      </c>
      <c r="N65" s="1108">
        <v>0.11</v>
      </c>
      <c r="O65" s="1108">
        <f>N65/2</f>
        <v>5.5E-2</v>
      </c>
      <c r="P65" s="1108">
        <f>+O65</f>
        <v>5.5E-2</v>
      </c>
    </row>
    <row r="66" spans="1:16" ht="18.95" hidden="1" customHeight="1">
      <c r="A66" s="1028" t="s">
        <v>78</v>
      </c>
      <c r="B66" s="1028" t="s">
        <v>79</v>
      </c>
      <c r="C66" s="554"/>
      <c r="D66" s="554"/>
      <c r="E66" s="554"/>
      <c r="F66" s="554"/>
      <c r="G66" s="554"/>
      <c r="H66" s="554">
        <f t="shared" si="34"/>
        <v>0</v>
      </c>
      <c r="I66" s="1108">
        <f t="shared" si="35"/>
        <v>0</v>
      </c>
      <c r="J66" s="554"/>
      <c r="K66" s="554"/>
      <c r="L66" s="554"/>
      <c r="M66" s="554">
        <f>+J66+K66</f>
        <v>0</v>
      </c>
      <c r="N66" s="1108"/>
      <c r="O66" s="1108">
        <f t="shared" ref="O66:O73" si="36">N66/2</f>
        <v>0</v>
      </c>
      <c r="P66" s="1108">
        <f t="shared" ref="P66:P73" si="37">+O66</f>
        <v>0</v>
      </c>
    </row>
    <row r="67" spans="1:16" ht="18.95" customHeight="1">
      <c r="A67" s="1028" t="s">
        <v>80</v>
      </c>
      <c r="B67" s="1028" t="s">
        <v>81</v>
      </c>
      <c r="C67" s="554">
        <v>4.2999999999999997E-2</v>
      </c>
      <c r="D67" s="554">
        <v>0.5</v>
      </c>
      <c r="E67" s="554"/>
      <c r="F67" s="554"/>
      <c r="G67" s="554">
        <v>1.2999999999999999E-2</v>
      </c>
      <c r="H67" s="554">
        <f t="shared" si="34"/>
        <v>0.48699999999999999</v>
      </c>
      <c r="I67" s="1108">
        <f t="shared" si="35"/>
        <v>0.5</v>
      </c>
      <c r="J67" s="554"/>
      <c r="K67" s="554"/>
      <c r="L67" s="554"/>
      <c r="M67" s="554">
        <f>+J67+K67</f>
        <v>0</v>
      </c>
      <c r="N67" s="1108">
        <v>0.55000000000000004</v>
      </c>
      <c r="O67" s="1108">
        <f t="shared" si="36"/>
        <v>0.27500000000000002</v>
      </c>
      <c r="P67" s="1108">
        <f t="shared" si="37"/>
        <v>0.27500000000000002</v>
      </c>
    </row>
    <row r="68" spans="1:16" ht="18.95" customHeight="1">
      <c r="A68" s="1028" t="s">
        <v>82</v>
      </c>
      <c r="B68" s="1028" t="s">
        <v>83</v>
      </c>
      <c r="C68" s="554">
        <v>1.1599999999999999</v>
      </c>
      <c r="D68" s="554">
        <v>2.5</v>
      </c>
      <c r="E68" s="554"/>
      <c r="F68" s="554"/>
      <c r="G68" s="554">
        <v>0.26</v>
      </c>
      <c r="H68" s="554">
        <f t="shared" si="34"/>
        <v>2.2400000000000002</v>
      </c>
      <c r="I68" s="1108">
        <f t="shared" si="35"/>
        <v>2.5</v>
      </c>
      <c r="J68" s="554"/>
      <c r="K68" s="554"/>
      <c r="L68" s="554"/>
      <c r="M68" s="554">
        <f>I68*1.1</f>
        <v>2.75</v>
      </c>
      <c r="N68" s="1108">
        <v>2.75</v>
      </c>
      <c r="O68" s="1108">
        <f t="shared" si="36"/>
        <v>1.375</v>
      </c>
      <c r="P68" s="1108">
        <f t="shared" si="37"/>
        <v>1.375</v>
      </c>
    </row>
    <row r="69" spans="1:16" ht="18.95" customHeight="1">
      <c r="A69" s="1028" t="s">
        <v>84</v>
      </c>
      <c r="B69" s="1028" t="s">
        <v>85</v>
      </c>
      <c r="C69" s="554">
        <v>4.0419999999999998</v>
      </c>
      <c r="D69" s="554">
        <v>6</v>
      </c>
      <c r="E69" s="554"/>
      <c r="F69" s="554"/>
      <c r="G69" s="554">
        <v>3.802</v>
      </c>
      <c r="H69" s="554">
        <f t="shared" si="34"/>
        <v>2.198</v>
      </c>
      <c r="I69" s="1108">
        <f t="shared" si="35"/>
        <v>6</v>
      </c>
      <c r="J69" s="554"/>
      <c r="K69" s="554"/>
      <c r="L69" s="554"/>
      <c r="M69" s="554">
        <f>I69*1.1</f>
        <v>6.6000000000000005</v>
      </c>
      <c r="N69" s="1108">
        <v>6</v>
      </c>
      <c r="O69" s="1108">
        <f t="shared" si="36"/>
        <v>3</v>
      </c>
      <c r="P69" s="1108">
        <f t="shared" si="37"/>
        <v>3</v>
      </c>
    </row>
    <row r="70" spans="1:16" ht="25.5" hidden="1">
      <c r="A70" s="1028" t="s">
        <v>86</v>
      </c>
      <c r="B70" s="1028" t="s">
        <v>820</v>
      </c>
      <c r="C70" s="554"/>
      <c r="D70" s="554"/>
      <c r="E70" s="554"/>
      <c r="F70" s="554"/>
      <c r="G70" s="554"/>
      <c r="H70" s="554">
        <f t="shared" si="34"/>
        <v>0</v>
      </c>
      <c r="I70" s="1108">
        <f t="shared" si="35"/>
        <v>0</v>
      </c>
      <c r="J70" s="554"/>
      <c r="K70" s="554"/>
      <c r="L70" s="554"/>
      <c r="M70" s="554">
        <f>+J70+K70</f>
        <v>0</v>
      </c>
      <c r="N70" s="1108"/>
      <c r="O70" s="1108">
        <f t="shared" si="36"/>
        <v>0</v>
      </c>
      <c r="P70" s="1108">
        <f t="shared" si="37"/>
        <v>0</v>
      </c>
    </row>
    <row r="71" spans="1:16" ht="38.25" hidden="1">
      <c r="A71" s="1028" t="s">
        <v>1134</v>
      </c>
      <c r="B71" s="1028" t="s">
        <v>1135</v>
      </c>
      <c r="C71" s="554"/>
      <c r="D71" s="554"/>
      <c r="E71" s="554"/>
      <c r="F71" s="554"/>
      <c r="G71" s="554"/>
      <c r="H71" s="554">
        <f t="shared" si="34"/>
        <v>0</v>
      </c>
      <c r="I71" s="1108">
        <f t="shared" si="35"/>
        <v>0</v>
      </c>
      <c r="J71" s="554"/>
      <c r="K71" s="554"/>
      <c r="L71" s="554"/>
      <c r="M71" s="554">
        <f>+J71+K71</f>
        <v>0</v>
      </c>
      <c r="N71" s="1108"/>
      <c r="O71" s="1108">
        <f t="shared" si="36"/>
        <v>0</v>
      </c>
      <c r="P71" s="1108">
        <f t="shared" si="37"/>
        <v>0</v>
      </c>
    </row>
    <row r="72" spans="1:16" ht="18.95" hidden="1" customHeight="1">
      <c r="A72" s="1028" t="s">
        <v>87</v>
      </c>
      <c r="B72" s="1028" t="s">
        <v>88</v>
      </c>
      <c r="C72" s="554"/>
      <c r="D72" s="554"/>
      <c r="E72" s="554"/>
      <c r="F72" s="554"/>
      <c r="G72" s="554"/>
      <c r="H72" s="554">
        <f t="shared" si="34"/>
        <v>0</v>
      </c>
      <c r="I72" s="1108">
        <f t="shared" si="35"/>
        <v>0</v>
      </c>
      <c r="J72" s="554"/>
      <c r="K72" s="554"/>
      <c r="L72" s="554"/>
      <c r="M72" s="554">
        <f>+J72+K72</f>
        <v>0</v>
      </c>
      <c r="N72" s="1108"/>
      <c r="O72" s="1108">
        <f t="shared" si="36"/>
        <v>0</v>
      </c>
      <c r="P72" s="1108">
        <f t="shared" si="37"/>
        <v>0</v>
      </c>
    </row>
    <row r="73" spans="1:16" ht="18.95" customHeight="1">
      <c r="A73" s="1028" t="s">
        <v>89</v>
      </c>
      <c r="B73" s="1208" t="s">
        <v>90</v>
      </c>
      <c r="C73" s="554">
        <v>3.7999999999999999E-2</v>
      </c>
      <c r="D73" s="554">
        <v>4.02E-2</v>
      </c>
      <c r="E73" s="554">
        <f>21600/1000000</f>
        <v>2.1600000000000001E-2</v>
      </c>
      <c r="F73" s="554">
        <f>20400/1000000</f>
        <v>2.0400000000000001E-2</v>
      </c>
      <c r="G73" s="554">
        <v>3.5999999999999997E-2</v>
      </c>
      <c r="H73" s="554">
        <f t="shared" si="34"/>
        <v>4.2000000000000023E-3</v>
      </c>
      <c r="I73" s="1108">
        <f t="shared" si="35"/>
        <v>4.02E-2</v>
      </c>
      <c r="J73" s="554">
        <f>21600/1000000</f>
        <v>2.1600000000000001E-2</v>
      </c>
      <c r="K73" s="554">
        <f>20400/1000000</f>
        <v>2.0400000000000001E-2</v>
      </c>
      <c r="L73" s="554"/>
      <c r="M73" s="554">
        <f>+J73+K73</f>
        <v>4.2000000000000003E-2</v>
      </c>
      <c r="N73" s="1108">
        <v>0.05</v>
      </c>
      <c r="O73" s="1108">
        <f t="shared" si="36"/>
        <v>2.5000000000000001E-2</v>
      </c>
      <c r="P73" s="1108">
        <f t="shared" si="37"/>
        <v>2.5000000000000001E-2</v>
      </c>
    </row>
    <row r="74" spans="1:16" ht="18.95" customHeight="1">
      <c r="A74" s="1331" t="s">
        <v>92</v>
      </c>
      <c r="B74" s="1332"/>
      <c r="C74" s="1206">
        <f t="shared" ref="C74:D74" si="38">C64+C62+C24</f>
        <v>145.899</v>
      </c>
      <c r="D74" s="1206">
        <f t="shared" si="38"/>
        <v>181.20128500000001</v>
      </c>
      <c r="E74" s="1206">
        <f t="shared" ref="E74:I74" si="39">E64+E62+E24</f>
        <v>98.379371999999989</v>
      </c>
      <c r="F74" s="1206">
        <f t="shared" si="39"/>
        <v>71.961337999999998</v>
      </c>
      <c r="G74" s="1206">
        <f t="shared" si="39"/>
        <v>108.687</v>
      </c>
      <c r="H74" s="1206">
        <f t="shared" si="39"/>
        <v>72.898285000000001</v>
      </c>
      <c r="I74" s="1206">
        <f t="shared" si="39"/>
        <v>181.585285</v>
      </c>
      <c r="J74" s="1206">
        <f t="shared" ref="J74:L74" si="40">J64+J62+J24</f>
        <v>100.882608</v>
      </c>
      <c r="K74" s="1206">
        <f t="shared" si="40"/>
        <v>73.876841999999996</v>
      </c>
      <c r="L74" s="1206">
        <f t="shared" si="40"/>
        <v>0</v>
      </c>
      <c r="M74" s="1207">
        <f>M64+M62+M24</f>
        <v>184.10944999999998</v>
      </c>
      <c r="N74" s="1101">
        <f>N64+N62+N24</f>
        <v>190.03300000000002</v>
      </c>
      <c r="O74" s="1034"/>
      <c r="P74" s="1034"/>
    </row>
    <row r="75" spans="1:16">
      <c r="I75" s="561"/>
    </row>
    <row r="76" spans="1:16">
      <c r="C76" s="561"/>
      <c r="D76" s="562"/>
      <c r="E76" s="562"/>
      <c r="F76" s="562"/>
      <c r="G76" s="562"/>
      <c r="H76" s="562"/>
      <c r="J76" s="561"/>
      <c r="N76" s="561"/>
    </row>
    <row r="77" spans="1:16">
      <c r="E77" s="562"/>
      <c r="F77" s="562"/>
      <c r="G77" s="562"/>
      <c r="H77" s="562"/>
      <c r="J77" s="562"/>
    </row>
    <row r="78" spans="1:16">
      <c r="F78" s="797">
        <f>+F76-F77</f>
        <v>0</v>
      </c>
      <c r="G78" s="562"/>
      <c r="H78" s="797"/>
      <c r="J78" s="561">
        <f>+J76-J77</f>
        <v>0</v>
      </c>
      <c r="N78" s="561"/>
    </row>
    <row r="79" spans="1:16">
      <c r="G79" s="561"/>
    </row>
  </sheetData>
  <mergeCells count="21">
    <mergeCell ref="A63:M63"/>
    <mergeCell ref="A64:B64"/>
    <mergeCell ref="A74:B74"/>
    <mergeCell ref="A8:B8"/>
    <mergeCell ref="A17:B17"/>
    <mergeCell ref="A24:B24"/>
    <mergeCell ref="A25:M25"/>
    <mergeCell ref="A26:B26"/>
    <mergeCell ref="A42:B42"/>
    <mergeCell ref="O6:O7"/>
    <mergeCell ref="P6:P7"/>
    <mergeCell ref="A2:P2"/>
    <mergeCell ref="A3:P3"/>
    <mergeCell ref="A62:B62"/>
    <mergeCell ref="N6:N7"/>
    <mergeCell ref="A4:M4"/>
    <mergeCell ref="A6:A7"/>
    <mergeCell ref="B6:B7"/>
    <mergeCell ref="C6:C7"/>
    <mergeCell ref="D6:L6"/>
    <mergeCell ref="M6:M7"/>
  </mergeCells>
  <pageMargins left="0.7" right="0.7" top="0.75" bottom="0.75" header="0.3" footer="0.3"/>
  <pageSetup scale="65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70"/>
  <sheetViews>
    <sheetView workbookViewId="0">
      <pane xSplit="2" ySplit="8" topLeftCell="C136" activePane="bottomRight" state="frozen"/>
      <selection pane="topRight" activeCell="C1" sqref="C1"/>
      <selection pane="bottomLeft" activeCell="A9" sqref="A9"/>
      <selection pane="bottomRight" activeCell="B1" sqref="B1:L1048576"/>
    </sheetView>
  </sheetViews>
  <sheetFormatPr defaultRowHeight="15"/>
  <cols>
    <col min="1" max="1" width="10.28515625" bestFit="1" customWidth="1"/>
    <col min="2" max="2" width="54.7109375" bestFit="1" customWidth="1"/>
    <col min="3" max="3" width="11.28515625" customWidth="1"/>
    <col min="4" max="4" width="11.140625" customWidth="1"/>
    <col min="5" max="6" width="10.28515625" customWidth="1"/>
    <col min="7" max="8" width="11.28515625" customWidth="1"/>
    <col min="9" max="9" width="10.85546875" customWidth="1"/>
    <col min="10" max="10" width="10.42578125" customWidth="1"/>
    <col min="11" max="11" width="12.140625" customWidth="1"/>
    <col min="12" max="12" width="16.140625" customWidth="1"/>
  </cols>
  <sheetData>
    <row r="1" spans="1:13" ht="18.95" customHeight="1">
      <c r="A1" s="487"/>
      <c r="B1" s="487"/>
      <c r="C1" s="488"/>
      <c r="D1" s="488"/>
      <c r="E1" s="488"/>
      <c r="F1" s="488"/>
      <c r="G1" s="488"/>
      <c r="H1" s="488"/>
      <c r="I1" s="963"/>
    </row>
    <row r="2" spans="1:13" ht="18.95" customHeight="1">
      <c r="A2" s="1306" t="s">
        <v>992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</row>
    <row r="3" spans="1:13" ht="18.95" customHeight="1">
      <c r="A3" s="1261" t="s">
        <v>1486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002"/>
    </row>
    <row r="4" spans="1:13" ht="18.95" customHeight="1">
      <c r="A4" s="1270"/>
      <c r="B4" s="1270"/>
      <c r="C4" s="1270"/>
      <c r="D4" s="1270"/>
      <c r="E4" s="1270"/>
      <c r="F4" s="1270"/>
      <c r="G4" s="1270"/>
      <c r="H4" s="1270"/>
      <c r="I4" s="1270"/>
    </row>
    <row r="5" spans="1:13" ht="18.95" hidden="1" customHeight="1">
      <c r="A5" s="159"/>
      <c r="B5" s="171"/>
      <c r="C5" s="494"/>
      <c r="D5" s="494"/>
      <c r="E5" s="494"/>
      <c r="F5" s="494"/>
      <c r="G5" s="494"/>
      <c r="H5" s="494"/>
      <c r="I5" s="181" t="s">
        <v>994</v>
      </c>
    </row>
    <row r="6" spans="1:13" ht="18.95" customHeight="1">
      <c r="A6" s="1296" t="s">
        <v>161</v>
      </c>
      <c r="B6" s="1296" t="s">
        <v>826</v>
      </c>
      <c r="C6" s="1239" t="s">
        <v>1512</v>
      </c>
      <c r="D6" s="1252" t="s">
        <v>1511</v>
      </c>
      <c r="E6" s="1253"/>
      <c r="F6" s="1253"/>
      <c r="G6" s="1253"/>
      <c r="H6" s="1254"/>
      <c r="I6" s="1297" t="s">
        <v>1091</v>
      </c>
      <c r="J6" s="1232" t="s">
        <v>1519</v>
      </c>
      <c r="K6" s="1232" t="s">
        <v>1529</v>
      </c>
      <c r="L6" s="1232" t="s">
        <v>1530</v>
      </c>
    </row>
    <row r="7" spans="1:13" ht="45">
      <c r="A7" s="1296"/>
      <c r="B7" s="1296"/>
      <c r="C7" s="1239"/>
      <c r="D7" s="1044" t="s">
        <v>818</v>
      </c>
      <c r="E7" s="885" t="s">
        <v>1514</v>
      </c>
      <c r="F7" s="884" t="s">
        <v>1518</v>
      </c>
      <c r="G7" s="1044" t="s">
        <v>819</v>
      </c>
      <c r="H7" s="1044" t="s">
        <v>1504</v>
      </c>
      <c r="I7" s="1307"/>
      <c r="J7" s="1232"/>
      <c r="K7" s="1232"/>
      <c r="L7" s="1232"/>
    </row>
    <row r="8" spans="1:13" ht="11.25" customHeight="1">
      <c r="A8" s="1300"/>
      <c r="B8" s="1301"/>
      <c r="C8" s="1301"/>
      <c r="D8" s="1301"/>
      <c r="E8" s="1301"/>
      <c r="F8" s="1301"/>
      <c r="G8" s="1301"/>
      <c r="H8" s="1301"/>
      <c r="I8" s="1302"/>
    </row>
    <row r="9" spans="1:13" ht="18.95" hidden="1" customHeight="1">
      <c r="A9" s="407" t="s">
        <v>815</v>
      </c>
      <c r="B9" s="408" t="s">
        <v>827</v>
      </c>
      <c r="C9" s="514">
        <f>SUM(C10:C11)</f>
        <v>0</v>
      </c>
      <c r="D9" s="514">
        <f>SUM(D10:D11)</f>
        <v>0</v>
      </c>
      <c r="E9" s="514">
        <f t="shared" ref="E9:F9" si="0">SUM(E10:E11)</f>
        <v>0</v>
      </c>
      <c r="F9" s="514">
        <f t="shared" si="0"/>
        <v>0</v>
      </c>
      <c r="G9" s="514">
        <f>SUM(G10:G11)</f>
        <v>0</v>
      </c>
      <c r="H9" s="1063"/>
      <c r="I9" s="515">
        <f>G9</f>
        <v>0</v>
      </c>
    </row>
    <row r="10" spans="1:13" ht="18.95" hidden="1" customHeight="1">
      <c r="A10" s="497" t="s">
        <v>196</v>
      </c>
      <c r="B10" s="498" t="s">
        <v>817</v>
      </c>
      <c r="C10" s="503"/>
      <c r="D10" s="503"/>
      <c r="E10" s="503"/>
      <c r="F10" s="503"/>
      <c r="G10" s="503"/>
      <c r="H10" s="796"/>
      <c r="I10" s="504"/>
    </row>
    <row r="11" spans="1:13" ht="18.95" hidden="1" customHeight="1">
      <c r="A11" s="497" t="s">
        <v>197</v>
      </c>
      <c r="B11" s="498" t="s">
        <v>816</v>
      </c>
      <c r="C11" s="503"/>
      <c r="D11" s="503"/>
      <c r="E11" s="503"/>
      <c r="F11" s="503"/>
      <c r="G11" s="503"/>
      <c r="H11" s="796"/>
      <c r="I11" s="504"/>
    </row>
    <row r="12" spans="1:13" ht="18.95" customHeight="1">
      <c r="A12" s="521" t="s">
        <v>198</v>
      </c>
      <c r="B12" s="522" t="s">
        <v>828</v>
      </c>
      <c r="C12" s="516">
        <f>SUM(C13:C18)</f>
        <v>0.17599999999999999</v>
      </c>
      <c r="D12" s="516">
        <v>0.2</v>
      </c>
      <c r="E12" s="516">
        <f t="shared" ref="E12:J12" si="1">SUM(E13:E18)</f>
        <v>6.5000000000000002E-2</v>
      </c>
      <c r="F12" s="516">
        <f t="shared" si="1"/>
        <v>0.13500000000000001</v>
      </c>
      <c r="G12" s="516">
        <f t="shared" si="1"/>
        <v>0.2</v>
      </c>
      <c r="H12" s="516">
        <f t="shared" si="1"/>
        <v>0</v>
      </c>
      <c r="I12" s="516">
        <f t="shared" si="1"/>
        <v>0.22000000000000003</v>
      </c>
      <c r="J12" s="516">
        <f t="shared" si="1"/>
        <v>0.22</v>
      </c>
      <c r="K12" s="1174">
        <f>+J12/2</f>
        <v>0.11</v>
      </c>
      <c r="L12" s="1174">
        <f>+J12/2</f>
        <v>0.11</v>
      </c>
      <c r="M12" s="561"/>
    </row>
    <row r="13" spans="1:13" ht="18.95" hidden="1" customHeight="1">
      <c r="A13" s="1185" t="s">
        <v>199</v>
      </c>
      <c r="B13" s="1186" t="s">
        <v>814</v>
      </c>
      <c r="C13" s="1056"/>
      <c r="D13" s="984"/>
      <c r="E13" s="984"/>
      <c r="F13" s="984"/>
      <c r="G13" s="984"/>
      <c r="H13" s="1056"/>
      <c r="I13" s="1056"/>
      <c r="J13" s="1123"/>
      <c r="M13" s="561"/>
    </row>
    <row r="14" spans="1:13" ht="18.95" customHeight="1">
      <c r="A14" s="1037" t="s">
        <v>200</v>
      </c>
      <c r="B14" s="1037" t="s">
        <v>813</v>
      </c>
      <c r="C14" s="554">
        <v>0.17599999999999999</v>
      </c>
      <c r="D14" s="554">
        <v>0.2</v>
      </c>
      <c r="E14" s="554">
        <v>6.5000000000000002E-2</v>
      </c>
      <c r="F14" s="554">
        <f>+D14-E14</f>
        <v>0.13500000000000001</v>
      </c>
      <c r="G14" s="554">
        <f>+E14+F14</f>
        <v>0.2</v>
      </c>
      <c r="H14" s="554"/>
      <c r="I14" s="554">
        <f>G14*1.1</f>
        <v>0.22000000000000003</v>
      </c>
      <c r="J14" s="1108">
        <v>0.22</v>
      </c>
      <c r="K14" s="1108">
        <f>+J14/2</f>
        <v>0.11</v>
      </c>
      <c r="L14" s="1108">
        <f>+J14/2</f>
        <v>0.11</v>
      </c>
      <c r="M14" s="561"/>
    </row>
    <row r="15" spans="1:13" ht="18.95" hidden="1" customHeight="1">
      <c r="A15" s="1177" t="s">
        <v>812</v>
      </c>
      <c r="B15" s="1178" t="s">
        <v>811</v>
      </c>
      <c r="C15" s="1057"/>
      <c r="D15" s="988"/>
      <c r="E15" s="988"/>
      <c r="F15" s="988"/>
      <c r="G15" s="988"/>
      <c r="H15" s="1057"/>
      <c r="I15" s="1057"/>
      <c r="J15" s="1119"/>
      <c r="K15" s="1108">
        <f t="shared" ref="K15:K78" si="2">+J15/2</f>
        <v>0</v>
      </c>
      <c r="L15" s="1108">
        <f t="shared" ref="L15:L78" si="3">+J15/2</f>
        <v>0</v>
      </c>
      <c r="M15" s="561"/>
    </row>
    <row r="16" spans="1:13" ht="18.95" hidden="1" customHeight="1">
      <c r="A16" s="497" t="s">
        <v>810</v>
      </c>
      <c r="B16" s="498" t="s">
        <v>809</v>
      </c>
      <c r="C16" s="796"/>
      <c r="D16" s="503"/>
      <c r="E16" s="503"/>
      <c r="F16" s="503"/>
      <c r="G16" s="503"/>
      <c r="H16" s="796"/>
      <c r="I16" s="796"/>
      <c r="J16" s="1108"/>
      <c r="K16" s="1108">
        <f t="shared" si="2"/>
        <v>0</v>
      </c>
      <c r="L16" s="1108">
        <f t="shared" si="3"/>
        <v>0</v>
      </c>
      <c r="M16" s="561"/>
    </row>
    <row r="17" spans="1:13" ht="18.95" hidden="1" customHeight="1">
      <c r="A17" s="497" t="s">
        <v>808</v>
      </c>
      <c r="B17" s="498" t="s">
        <v>807</v>
      </c>
      <c r="C17" s="796"/>
      <c r="D17" s="503"/>
      <c r="E17" s="503"/>
      <c r="F17" s="503"/>
      <c r="G17" s="503"/>
      <c r="H17" s="796"/>
      <c r="I17" s="796"/>
      <c r="J17" s="1108"/>
      <c r="K17" s="1108">
        <f t="shared" si="2"/>
        <v>0</v>
      </c>
      <c r="L17" s="1108">
        <f t="shared" si="3"/>
        <v>0</v>
      </c>
      <c r="M17" s="561"/>
    </row>
    <row r="18" spans="1:13" ht="18.95" hidden="1" customHeight="1">
      <c r="A18" s="497" t="s">
        <v>201</v>
      </c>
      <c r="B18" s="498" t="s">
        <v>806</v>
      </c>
      <c r="C18" s="796"/>
      <c r="D18" s="503"/>
      <c r="E18" s="503"/>
      <c r="F18" s="503"/>
      <c r="G18" s="503"/>
      <c r="H18" s="796"/>
      <c r="I18" s="796"/>
      <c r="J18" s="1108"/>
      <c r="K18" s="1108">
        <f t="shared" si="2"/>
        <v>0</v>
      </c>
      <c r="L18" s="1108">
        <f t="shared" si="3"/>
        <v>0</v>
      </c>
      <c r="M18" s="561"/>
    </row>
    <row r="19" spans="1:13" ht="18.95" customHeight="1">
      <c r="A19" s="1180" t="s">
        <v>202</v>
      </c>
      <c r="B19" s="1181" t="s">
        <v>829</v>
      </c>
      <c r="C19" s="1182">
        <f>SUM(C20:C23)</f>
        <v>0.52600000000000002</v>
      </c>
      <c r="D19" s="1182">
        <v>5.4</v>
      </c>
      <c r="E19" s="1182">
        <f t="shared" ref="E19:G19" si="4">SUM(E20:E23)</f>
        <v>0.53500000000000003</v>
      </c>
      <c r="F19" s="1182">
        <f t="shared" si="4"/>
        <v>0.2</v>
      </c>
      <c r="G19" s="1182">
        <f t="shared" si="4"/>
        <v>0.7350000000000001</v>
      </c>
      <c r="H19" s="1182">
        <f>SUM(H20:H23)</f>
        <v>0</v>
      </c>
      <c r="I19" s="1183">
        <f>SUM(I20:I23)</f>
        <v>0.80850000000000022</v>
      </c>
      <c r="J19" s="1184">
        <f>SUM(J20:J23)</f>
        <v>5.94</v>
      </c>
      <c r="K19" s="1184">
        <f t="shared" ref="K19:L19" si="5">SUM(K20:K23)</f>
        <v>2.97</v>
      </c>
      <c r="L19" s="1184">
        <f t="shared" si="5"/>
        <v>2.97</v>
      </c>
      <c r="M19" s="561"/>
    </row>
    <row r="20" spans="1:13" ht="18.95" customHeight="1">
      <c r="A20" s="1037" t="s">
        <v>203</v>
      </c>
      <c r="B20" s="1037" t="s">
        <v>204</v>
      </c>
      <c r="C20" s="554">
        <v>0.52600000000000002</v>
      </c>
      <c r="D20" s="554">
        <v>0.4</v>
      </c>
      <c r="E20" s="554">
        <v>0.53500000000000003</v>
      </c>
      <c r="F20" s="554">
        <v>0.2</v>
      </c>
      <c r="G20" s="554">
        <f t="shared" ref="G20:G22" si="6">+E20+F20</f>
        <v>0.7350000000000001</v>
      </c>
      <c r="H20" s="554"/>
      <c r="I20" s="554">
        <f>G20*1.1</f>
        <v>0.80850000000000022</v>
      </c>
      <c r="J20" s="1108">
        <v>0.44</v>
      </c>
      <c r="K20" s="1108">
        <f t="shared" si="2"/>
        <v>0.22</v>
      </c>
      <c r="L20" s="1108">
        <f t="shared" si="3"/>
        <v>0.22</v>
      </c>
      <c r="M20" s="561"/>
    </row>
    <row r="21" spans="1:13" ht="18.95" hidden="1" customHeight="1">
      <c r="A21" s="1037" t="s">
        <v>205</v>
      </c>
      <c r="B21" s="1037" t="s">
        <v>206</v>
      </c>
      <c r="C21" s="554"/>
      <c r="D21" s="554"/>
      <c r="E21" s="554"/>
      <c r="F21" s="554">
        <f t="shared" ref="F21" si="7">+D21-E21</f>
        <v>0</v>
      </c>
      <c r="G21" s="554">
        <f t="shared" si="6"/>
        <v>0</v>
      </c>
      <c r="H21" s="554"/>
      <c r="I21" s="554"/>
      <c r="J21" s="1108"/>
      <c r="K21" s="1108">
        <f t="shared" si="2"/>
        <v>0</v>
      </c>
      <c r="L21" s="1108">
        <f t="shared" si="3"/>
        <v>0</v>
      </c>
      <c r="M21" s="561"/>
    </row>
    <row r="22" spans="1:13" ht="18.95" customHeight="1">
      <c r="A22" s="1037" t="s">
        <v>207</v>
      </c>
      <c r="B22" s="1037" t="s">
        <v>208</v>
      </c>
      <c r="C22" s="554"/>
      <c r="D22" s="554">
        <v>5</v>
      </c>
      <c r="E22" s="554"/>
      <c r="F22" s="554"/>
      <c r="G22" s="554">
        <f t="shared" si="6"/>
        <v>0</v>
      </c>
      <c r="H22" s="554"/>
      <c r="I22" s="554">
        <f>G22*1.1</f>
        <v>0</v>
      </c>
      <c r="J22" s="1108">
        <v>5.5</v>
      </c>
      <c r="K22" s="1108">
        <f t="shared" si="2"/>
        <v>2.75</v>
      </c>
      <c r="L22" s="1108">
        <f t="shared" si="3"/>
        <v>2.75</v>
      </c>
      <c r="M22" s="561"/>
    </row>
    <row r="23" spans="1:13" ht="18.95" hidden="1" customHeight="1">
      <c r="A23" s="1177" t="s">
        <v>209</v>
      </c>
      <c r="B23" s="1178" t="s">
        <v>805</v>
      </c>
      <c r="C23" s="1057"/>
      <c r="D23" s="988"/>
      <c r="E23" s="988"/>
      <c r="F23" s="988"/>
      <c r="G23" s="988"/>
      <c r="H23" s="1057"/>
      <c r="I23" s="1057"/>
      <c r="J23" s="1119"/>
      <c r="K23" s="1108">
        <f t="shared" si="2"/>
        <v>0</v>
      </c>
      <c r="L23" s="1108">
        <f t="shared" si="3"/>
        <v>0</v>
      </c>
      <c r="M23" s="561"/>
    </row>
    <row r="24" spans="1:13" ht="18.95" customHeight="1">
      <c r="A24" s="1180" t="s">
        <v>210</v>
      </c>
      <c r="B24" s="1181" t="s">
        <v>830</v>
      </c>
      <c r="C24" s="1182">
        <f>SUM(C25:C30)</f>
        <v>10.816000000000001</v>
      </c>
      <c r="D24" s="1182">
        <v>18.557804000000001</v>
      </c>
      <c r="E24" s="1182">
        <f t="shared" ref="E24:G24" si="8">SUM(E25:E30)</f>
        <v>13.561</v>
      </c>
      <c r="F24" s="1182">
        <f t="shared" si="8"/>
        <v>4.9968040000000009</v>
      </c>
      <c r="G24" s="1182">
        <f t="shared" si="8"/>
        <v>18.557804000000001</v>
      </c>
      <c r="H24" s="1182">
        <f>SUM(H25:H30)</f>
        <v>0</v>
      </c>
      <c r="I24" s="1183">
        <f>SUM(I25:I30)</f>
        <v>13.80611</v>
      </c>
      <c r="J24" s="1184">
        <f>SUM(J25:J30)</f>
        <v>18.557804000000001</v>
      </c>
      <c r="K24" s="1184">
        <f t="shared" ref="K24:L24" si="9">SUM(K25:K30)</f>
        <v>9.2789020000000004</v>
      </c>
      <c r="L24" s="1184">
        <f t="shared" si="9"/>
        <v>9.2789020000000004</v>
      </c>
      <c r="M24" s="561"/>
    </row>
    <row r="25" spans="1:13" ht="18.95" customHeight="1">
      <c r="A25" s="1037" t="s">
        <v>212</v>
      </c>
      <c r="B25" s="1037" t="s">
        <v>1419</v>
      </c>
      <c r="C25" s="554">
        <v>3.2250000000000001</v>
      </c>
      <c r="D25" s="554">
        <v>5.1559999999999997</v>
      </c>
      <c r="E25" s="554">
        <v>3.4729999999999999</v>
      </c>
      <c r="F25" s="554">
        <f t="shared" ref="F25:F26" si="10">+D25-E25</f>
        <v>1.6829999999999998</v>
      </c>
      <c r="G25" s="554">
        <f t="shared" ref="G25:G26" si="11">+E25+F25</f>
        <v>5.1559999999999997</v>
      </c>
      <c r="H25" s="554"/>
      <c r="I25" s="554"/>
      <c r="J25" s="1116">
        <f>+D25</f>
        <v>5.1559999999999997</v>
      </c>
      <c r="K25" s="1108">
        <f t="shared" si="2"/>
        <v>2.5779999999999998</v>
      </c>
      <c r="L25" s="1108">
        <f t="shared" si="3"/>
        <v>2.5779999999999998</v>
      </c>
      <c r="M25" s="561"/>
    </row>
    <row r="26" spans="1:13" ht="18.95" customHeight="1">
      <c r="A26" s="1037" t="s">
        <v>213</v>
      </c>
      <c r="B26" s="1037" t="s">
        <v>1420</v>
      </c>
      <c r="C26" s="554">
        <v>7.5910000000000002</v>
      </c>
      <c r="D26" s="554">
        <v>13.401804</v>
      </c>
      <c r="E26" s="554">
        <v>10.087999999999999</v>
      </c>
      <c r="F26" s="554">
        <f t="shared" si="10"/>
        <v>3.3138040000000011</v>
      </c>
      <c r="G26" s="554">
        <f t="shared" si="11"/>
        <v>13.401804</v>
      </c>
      <c r="H26" s="554"/>
      <c r="I26" s="554">
        <f>3896004/1000000+6501768/1000000+3107148/1000000+301190/1000000</f>
        <v>13.80611</v>
      </c>
      <c r="J26" s="1116">
        <f>+D26</f>
        <v>13.401804</v>
      </c>
      <c r="K26" s="1108">
        <f t="shared" si="2"/>
        <v>6.7009020000000001</v>
      </c>
      <c r="L26" s="1108">
        <f t="shared" si="3"/>
        <v>6.7009020000000001</v>
      </c>
      <c r="M26" s="561"/>
    </row>
    <row r="27" spans="1:13" ht="18.95" hidden="1" customHeight="1">
      <c r="A27" s="1177" t="s">
        <v>213</v>
      </c>
      <c r="B27" s="1178" t="s">
        <v>803</v>
      </c>
      <c r="C27" s="1057"/>
      <c r="D27" s="988"/>
      <c r="E27" s="988"/>
      <c r="F27" s="988"/>
      <c r="G27" s="988"/>
      <c r="H27" s="1057"/>
      <c r="I27" s="1057"/>
      <c r="J27" s="1119"/>
      <c r="K27" s="1108">
        <f t="shared" si="2"/>
        <v>0</v>
      </c>
      <c r="L27" s="1108">
        <f t="shared" si="3"/>
        <v>0</v>
      </c>
      <c r="M27" s="561"/>
    </row>
    <row r="28" spans="1:13" ht="18.95" hidden="1" customHeight="1">
      <c r="A28" s="497" t="s">
        <v>802</v>
      </c>
      <c r="B28" s="498" t="s">
        <v>801</v>
      </c>
      <c r="C28" s="796"/>
      <c r="D28" s="503"/>
      <c r="E28" s="503"/>
      <c r="F28" s="503"/>
      <c r="G28" s="503"/>
      <c r="H28" s="796"/>
      <c r="I28" s="796"/>
      <c r="J28" s="1108"/>
      <c r="K28" s="1108">
        <f t="shared" si="2"/>
        <v>0</v>
      </c>
      <c r="L28" s="1108">
        <f t="shared" si="3"/>
        <v>0</v>
      </c>
      <c r="M28" s="561"/>
    </row>
    <row r="29" spans="1:13" ht="18.95" hidden="1" customHeight="1">
      <c r="A29" s="497" t="s">
        <v>214</v>
      </c>
      <c r="B29" s="498" t="s">
        <v>800</v>
      </c>
      <c r="C29" s="796"/>
      <c r="D29" s="503"/>
      <c r="E29" s="503"/>
      <c r="F29" s="503"/>
      <c r="G29" s="503"/>
      <c r="H29" s="796"/>
      <c r="I29" s="796"/>
      <c r="J29" s="1108"/>
      <c r="K29" s="1108">
        <f t="shared" si="2"/>
        <v>0</v>
      </c>
      <c r="L29" s="1108">
        <f t="shared" si="3"/>
        <v>0</v>
      </c>
      <c r="M29" s="561"/>
    </row>
    <row r="30" spans="1:13" ht="18.95" hidden="1" customHeight="1">
      <c r="A30" s="497" t="s">
        <v>799</v>
      </c>
      <c r="B30" s="498" t="s">
        <v>798</v>
      </c>
      <c r="C30" s="796"/>
      <c r="D30" s="503"/>
      <c r="E30" s="503"/>
      <c r="F30" s="503"/>
      <c r="G30" s="503"/>
      <c r="H30" s="796"/>
      <c r="I30" s="796"/>
      <c r="J30" s="1108"/>
      <c r="K30" s="1108">
        <f t="shared" si="2"/>
        <v>0</v>
      </c>
      <c r="L30" s="1108">
        <f t="shared" si="3"/>
        <v>0</v>
      </c>
      <c r="M30" s="561"/>
    </row>
    <row r="31" spans="1:13" ht="18.95" hidden="1" customHeight="1">
      <c r="A31" s="521" t="s">
        <v>787</v>
      </c>
      <c r="B31" s="522" t="s">
        <v>831</v>
      </c>
      <c r="C31" s="1058"/>
      <c r="D31" s="516"/>
      <c r="E31" s="516">
        <f t="shared" ref="E31:F31" si="12">SUM(E32:E37)</f>
        <v>0</v>
      </c>
      <c r="F31" s="516">
        <f t="shared" si="12"/>
        <v>0</v>
      </c>
      <c r="G31" s="516"/>
      <c r="H31" s="1058"/>
      <c r="I31" s="1058">
        <f>G31</f>
        <v>0</v>
      </c>
      <c r="J31" s="1108"/>
      <c r="K31" s="1108">
        <f t="shared" si="2"/>
        <v>0</v>
      </c>
      <c r="L31" s="1108">
        <f t="shared" si="3"/>
        <v>0</v>
      </c>
      <c r="M31" s="561"/>
    </row>
    <row r="32" spans="1:13" ht="18.95" hidden="1" customHeight="1">
      <c r="A32" s="497" t="s">
        <v>797</v>
      </c>
      <c r="B32" s="498" t="s">
        <v>796</v>
      </c>
      <c r="C32" s="796"/>
      <c r="D32" s="503"/>
      <c r="E32" s="503"/>
      <c r="F32" s="503"/>
      <c r="G32" s="503"/>
      <c r="H32" s="796"/>
      <c r="I32" s="796"/>
      <c r="J32" s="1108"/>
      <c r="K32" s="1108">
        <f t="shared" si="2"/>
        <v>0</v>
      </c>
      <c r="L32" s="1108">
        <f t="shared" si="3"/>
        <v>0</v>
      </c>
      <c r="M32" s="561"/>
    </row>
    <row r="33" spans="1:13" ht="18.95" hidden="1" customHeight="1">
      <c r="A33" s="497" t="s">
        <v>795</v>
      </c>
      <c r="B33" s="498" t="s">
        <v>794</v>
      </c>
      <c r="C33" s="796"/>
      <c r="D33" s="503"/>
      <c r="E33" s="503"/>
      <c r="F33" s="503"/>
      <c r="G33" s="503"/>
      <c r="H33" s="796"/>
      <c r="I33" s="796"/>
      <c r="J33" s="1108"/>
      <c r="K33" s="1108">
        <f t="shared" si="2"/>
        <v>0</v>
      </c>
      <c r="L33" s="1108">
        <f t="shared" si="3"/>
        <v>0</v>
      </c>
      <c r="M33" s="561"/>
    </row>
    <row r="34" spans="1:13" ht="18.95" hidden="1" customHeight="1">
      <c r="A34" s="497" t="s">
        <v>793</v>
      </c>
      <c r="B34" s="498" t="s">
        <v>786</v>
      </c>
      <c r="C34" s="796"/>
      <c r="D34" s="503"/>
      <c r="E34" s="503"/>
      <c r="F34" s="503"/>
      <c r="G34" s="503"/>
      <c r="H34" s="796"/>
      <c r="I34" s="796"/>
      <c r="J34" s="1108"/>
      <c r="K34" s="1108">
        <f t="shared" si="2"/>
        <v>0</v>
      </c>
      <c r="L34" s="1108">
        <f t="shared" si="3"/>
        <v>0</v>
      </c>
      <c r="M34" s="561"/>
    </row>
    <row r="35" spans="1:13" ht="18.95" hidden="1" customHeight="1">
      <c r="A35" s="497" t="s">
        <v>792</v>
      </c>
      <c r="B35" s="498" t="s">
        <v>784</v>
      </c>
      <c r="C35" s="796"/>
      <c r="D35" s="503"/>
      <c r="E35" s="503"/>
      <c r="F35" s="503"/>
      <c r="G35" s="503"/>
      <c r="H35" s="796"/>
      <c r="I35" s="796"/>
      <c r="J35" s="1108"/>
      <c r="K35" s="1108">
        <f t="shared" si="2"/>
        <v>0</v>
      </c>
      <c r="L35" s="1108">
        <f t="shared" si="3"/>
        <v>0</v>
      </c>
      <c r="M35" s="561"/>
    </row>
    <row r="36" spans="1:13" ht="18.95" hidden="1" customHeight="1">
      <c r="A36" s="497" t="s">
        <v>791</v>
      </c>
      <c r="B36" s="498" t="s">
        <v>790</v>
      </c>
      <c r="C36" s="796"/>
      <c r="D36" s="503"/>
      <c r="E36" s="503"/>
      <c r="F36" s="503"/>
      <c r="G36" s="503"/>
      <c r="H36" s="796"/>
      <c r="I36" s="796"/>
      <c r="J36" s="1108"/>
      <c r="K36" s="1108">
        <f t="shared" si="2"/>
        <v>0</v>
      </c>
      <c r="L36" s="1108">
        <f t="shared" si="3"/>
        <v>0</v>
      </c>
      <c r="M36" s="561"/>
    </row>
    <row r="37" spans="1:13" ht="18.95" hidden="1" customHeight="1">
      <c r="A37" s="497" t="s">
        <v>789</v>
      </c>
      <c r="B37" s="498" t="s">
        <v>788</v>
      </c>
      <c r="C37" s="796"/>
      <c r="D37" s="503"/>
      <c r="E37" s="503"/>
      <c r="F37" s="503"/>
      <c r="G37" s="503"/>
      <c r="H37" s="796"/>
      <c r="I37" s="796"/>
      <c r="J37" s="1108"/>
      <c r="K37" s="1108">
        <f t="shared" si="2"/>
        <v>0</v>
      </c>
      <c r="L37" s="1108">
        <f t="shared" si="3"/>
        <v>0</v>
      </c>
      <c r="M37" s="561"/>
    </row>
    <row r="38" spans="1:13" ht="18.95" hidden="1" customHeight="1">
      <c r="A38" s="521" t="s">
        <v>215</v>
      </c>
      <c r="B38" s="522" t="s">
        <v>832</v>
      </c>
      <c r="C38" s="1058"/>
      <c r="D38" s="516"/>
      <c r="E38" s="516">
        <f t="shared" ref="E38:F38" si="13">SUM(E39:E40)</f>
        <v>0</v>
      </c>
      <c r="F38" s="516">
        <f t="shared" si="13"/>
        <v>0</v>
      </c>
      <c r="G38" s="516"/>
      <c r="H38" s="1058"/>
      <c r="I38" s="1058">
        <f>G38</f>
        <v>0</v>
      </c>
      <c r="J38" s="1108"/>
      <c r="K38" s="1108">
        <f t="shared" si="2"/>
        <v>0</v>
      </c>
      <c r="L38" s="1108">
        <f t="shared" si="3"/>
        <v>0</v>
      </c>
      <c r="M38" s="561"/>
    </row>
    <row r="39" spans="1:13" ht="18.95" hidden="1" customHeight="1">
      <c r="A39" s="497" t="s">
        <v>216</v>
      </c>
      <c r="B39" s="498" t="s">
        <v>217</v>
      </c>
      <c r="C39" s="796"/>
      <c r="D39" s="503"/>
      <c r="E39" s="503"/>
      <c r="F39" s="503"/>
      <c r="G39" s="503"/>
      <c r="H39" s="796"/>
      <c r="I39" s="796"/>
      <c r="J39" s="1108"/>
      <c r="K39" s="1108">
        <f t="shared" si="2"/>
        <v>0</v>
      </c>
      <c r="L39" s="1108">
        <f t="shared" si="3"/>
        <v>0</v>
      </c>
      <c r="M39" s="561"/>
    </row>
    <row r="40" spans="1:13" ht="18.95" hidden="1" customHeight="1">
      <c r="A40" s="497" t="s">
        <v>218</v>
      </c>
      <c r="B40" s="498" t="s">
        <v>219</v>
      </c>
      <c r="C40" s="796"/>
      <c r="D40" s="503"/>
      <c r="E40" s="503"/>
      <c r="F40" s="503"/>
      <c r="G40" s="503"/>
      <c r="H40" s="796"/>
      <c r="I40" s="796"/>
      <c r="J40" s="1108"/>
      <c r="K40" s="1108">
        <f t="shared" si="2"/>
        <v>0</v>
      </c>
      <c r="L40" s="1108">
        <f t="shared" si="3"/>
        <v>0</v>
      </c>
      <c r="M40" s="561"/>
    </row>
    <row r="41" spans="1:13" ht="18.95" hidden="1" customHeight="1">
      <c r="A41" s="521" t="s">
        <v>220</v>
      </c>
      <c r="B41" s="522" t="s">
        <v>846</v>
      </c>
      <c r="C41" s="1058"/>
      <c r="D41" s="516"/>
      <c r="E41" s="516">
        <f t="shared" ref="E41:F41" si="14">SUM(E42:E45)</f>
        <v>0</v>
      </c>
      <c r="F41" s="516">
        <f t="shared" si="14"/>
        <v>0</v>
      </c>
      <c r="G41" s="516"/>
      <c r="H41" s="1058"/>
      <c r="I41" s="1058">
        <f>G41</f>
        <v>0</v>
      </c>
      <c r="J41" s="1108"/>
      <c r="K41" s="1108">
        <f t="shared" si="2"/>
        <v>0</v>
      </c>
      <c r="L41" s="1108">
        <f t="shared" si="3"/>
        <v>0</v>
      </c>
      <c r="M41" s="561"/>
    </row>
    <row r="42" spans="1:13" ht="18.95" hidden="1" customHeight="1">
      <c r="A42" s="497" t="s">
        <v>785</v>
      </c>
      <c r="B42" s="498" t="s">
        <v>784</v>
      </c>
      <c r="C42" s="796"/>
      <c r="D42" s="503"/>
      <c r="E42" s="503"/>
      <c r="F42" s="503"/>
      <c r="G42" s="503"/>
      <c r="H42" s="796"/>
      <c r="I42" s="796"/>
      <c r="J42" s="1108"/>
      <c r="K42" s="1108">
        <f t="shared" si="2"/>
        <v>0</v>
      </c>
      <c r="L42" s="1108">
        <f t="shared" si="3"/>
        <v>0</v>
      </c>
      <c r="M42" s="561"/>
    </row>
    <row r="43" spans="1:13" ht="18.95" hidden="1" customHeight="1">
      <c r="A43" s="497" t="s">
        <v>783</v>
      </c>
      <c r="B43" s="498" t="s">
        <v>782</v>
      </c>
      <c r="C43" s="796"/>
      <c r="D43" s="503"/>
      <c r="E43" s="503"/>
      <c r="F43" s="503"/>
      <c r="G43" s="503"/>
      <c r="H43" s="796"/>
      <c r="I43" s="796"/>
      <c r="J43" s="1108"/>
      <c r="K43" s="1108">
        <f t="shared" si="2"/>
        <v>0</v>
      </c>
      <c r="L43" s="1108">
        <f t="shared" si="3"/>
        <v>0</v>
      </c>
      <c r="M43" s="561"/>
    </row>
    <row r="44" spans="1:13" ht="18.95" hidden="1" customHeight="1">
      <c r="A44" s="497" t="s">
        <v>781</v>
      </c>
      <c r="B44" s="498" t="s">
        <v>780</v>
      </c>
      <c r="C44" s="796"/>
      <c r="D44" s="503"/>
      <c r="E44" s="503"/>
      <c r="F44" s="503"/>
      <c r="G44" s="503"/>
      <c r="H44" s="796"/>
      <c r="I44" s="796"/>
      <c r="J44" s="1108"/>
      <c r="K44" s="1108">
        <f t="shared" si="2"/>
        <v>0</v>
      </c>
      <c r="L44" s="1108">
        <f t="shared" si="3"/>
        <v>0</v>
      </c>
      <c r="M44" s="561"/>
    </row>
    <row r="45" spans="1:13" ht="18.95" hidden="1" customHeight="1">
      <c r="A45" s="497" t="s">
        <v>221</v>
      </c>
      <c r="B45" s="498" t="s">
        <v>16</v>
      </c>
      <c r="C45" s="796"/>
      <c r="D45" s="503"/>
      <c r="E45" s="503"/>
      <c r="F45" s="503"/>
      <c r="G45" s="503"/>
      <c r="H45" s="796"/>
      <c r="I45" s="796"/>
      <c r="J45" s="1108"/>
      <c r="K45" s="1108">
        <f t="shared" si="2"/>
        <v>0</v>
      </c>
      <c r="L45" s="1108">
        <f t="shared" si="3"/>
        <v>0</v>
      </c>
      <c r="M45" s="561"/>
    </row>
    <row r="46" spans="1:13" ht="18.95" customHeight="1">
      <c r="A46" s="521" t="s">
        <v>222</v>
      </c>
      <c r="B46" s="522" t="s">
        <v>845</v>
      </c>
      <c r="C46" s="516">
        <f>SUM(C47:C55)</f>
        <v>1.4629999999999999</v>
      </c>
      <c r="D46" s="516">
        <v>3.4</v>
      </c>
      <c r="E46" s="516">
        <f t="shared" ref="E46:G46" si="15">SUM(E47:E55)</f>
        <v>0.60499999999999998</v>
      </c>
      <c r="F46" s="516">
        <f t="shared" si="15"/>
        <v>1.3839999999999999</v>
      </c>
      <c r="G46" s="516">
        <f t="shared" si="15"/>
        <v>1.9889999999999999</v>
      </c>
      <c r="H46" s="516">
        <f>SUM(H47:H55)</f>
        <v>0</v>
      </c>
      <c r="I46" s="1058">
        <f>SUM(I47:I55)</f>
        <v>2.1879</v>
      </c>
      <c r="J46" s="1104">
        <f>SUM(J47:J55)</f>
        <v>3.7399999999999998</v>
      </c>
      <c r="K46" s="1104">
        <f t="shared" ref="K46:L46" si="16">SUM(K47:K55)</f>
        <v>1.8699999999999999</v>
      </c>
      <c r="L46" s="1104">
        <f t="shared" si="16"/>
        <v>1.8699999999999999</v>
      </c>
      <c r="M46" s="561"/>
    </row>
    <row r="47" spans="1:13" ht="18.95" hidden="1" customHeight="1">
      <c r="A47" s="497" t="s">
        <v>223</v>
      </c>
      <c r="B47" s="498" t="s">
        <v>779</v>
      </c>
      <c r="C47" s="796"/>
      <c r="D47" s="503"/>
      <c r="E47" s="503"/>
      <c r="F47" s="503"/>
      <c r="G47" s="503"/>
      <c r="H47" s="796"/>
      <c r="I47" s="796"/>
      <c r="J47" s="1108"/>
      <c r="K47" s="1108">
        <f t="shared" si="2"/>
        <v>0</v>
      </c>
      <c r="L47" s="1108">
        <f t="shared" si="3"/>
        <v>0</v>
      </c>
      <c r="M47" s="561"/>
    </row>
    <row r="48" spans="1:13" ht="18.95" hidden="1" customHeight="1">
      <c r="A48" s="497" t="s">
        <v>224</v>
      </c>
      <c r="B48" s="498" t="s">
        <v>778</v>
      </c>
      <c r="C48" s="796"/>
      <c r="D48" s="503"/>
      <c r="E48" s="503"/>
      <c r="F48" s="503"/>
      <c r="G48" s="503"/>
      <c r="H48" s="796"/>
      <c r="I48" s="796"/>
      <c r="J48" s="1108"/>
      <c r="K48" s="1108">
        <f t="shared" si="2"/>
        <v>0</v>
      </c>
      <c r="L48" s="1108">
        <f t="shared" si="3"/>
        <v>0</v>
      </c>
      <c r="M48" s="561"/>
    </row>
    <row r="49" spans="1:13" ht="18.95" hidden="1" customHeight="1">
      <c r="A49" s="497" t="s">
        <v>225</v>
      </c>
      <c r="B49" s="498" t="s">
        <v>777</v>
      </c>
      <c r="C49" s="796"/>
      <c r="D49" s="503"/>
      <c r="E49" s="503"/>
      <c r="F49" s="503"/>
      <c r="G49" s="503"/>
      <c r="H49" s="796"/>
      <c r="I49" s="796"/>
      <c r="J49" s="1108"/>
      <c r="K49" s="1108">
        <f t="shared" si="2"/>
        <v>0</v>
      </c>
      <c r="L49" s="1108">
        <f t="shared" si="3"/>
        <v>0</v>
      </c>
      <c r="M49" s="561"/>
    </row>
    <row r="50" spans="1:13" ht="18.95" hidden="1" customHeight="1">
      <c r="A50" s="1185" t="s">
        <v>226</v>
      </c>
      <c r="B50" s="1186" t="s">
        <v>776</v>
      </c>
      <c r="C50" s="1056"/>
      <c r="D50" s="984"/>
      <c r="E50" s="984"/>
      <c r="F50" s="984"/>
      <c r="G50" s="984"/>
      <c r="H50" s="1056"/>
      <c r="I50" s="1056"/>
      <c r="J50" s="1123"/>
      <c r="K50" s="1108">
        <f t="shared" si="2"/>
        <v>0</v>
      </c>
      <c r="L50" s="1108">
        <f t="shared" si="3"/>
        <v>0</v>
      </c>
      <c r="M50" s="561"/>
    </row>
    <row r="51" spans="1:13" ht="18.95" customHeight="1">
      <c r="A51" s="1037" t="s">
        <v>227</v>
      </c>
      <c r="B51" s="1037" t="s">
        <v>775</v>
      </c>
      <c r="C51" s="554">
        <v>1.43</v>
      </c>
      <c r="D51" s="554">
        <v>3</v>
      </c>
      <c r="E51" s="554">
        <v>0.58899999999999997</v>
      </c>
      <c r="F51" s="554">
        <v>1</v>
      </c>
      <c r="G51" s="554">
        <f t="shared" ref="G51:G53" si="17">+E51+F51</f>
        <v>1.589</v>
      </c>
      <c r="H51" s="554"/>
      <c r="I51" s="554">
        <f>G51*1.1</f>
        <v>1.7479</v>
      </c>
      <c r="J51" s="1108">
        <v>3.3</v>
      </c>
      <c r="K51" s="1108">
        <f t="shared" si="2"/>
        <v>1.65</v>
      </c>
      <c r="L51" s="1108">
        <f t="shared" si="3"/>
        <v>1.65</v>
      </c>
      <c r="M51" s="561"/>
    </row>
    <row r="52" spans="1:13" ht="18.95" hidden="1" customHeight="1">
      <c r="A52" s="1037" t="s">
        <v>228</v>
      </c>
      <c r="B52" s="1037" t="s">
        <v>774</v>
      </c>
      <c r="C52" s="554"/>
      <c r="D52" s="554"/>
      <c r="E52" s="554"/>
      <c r="F52" s="554">
        <f t="shared" ref="F52:F53" si="18">+D52-E52</f>
        <v>0</v>
      </c>
      <c r="G52" s="554">
        <f t="shared" si="17"/>
        <v>0</v>
      </c>
      <c r="H52" s="554"/>
      <c r="I52" s="554"/>
      <c r="J52" s="1108"/>
      <c r="K52" s="1108">
        <f t="shared" si="2"/>
        <v>0</v>
      </c>
      <c r="L52" s="1108">
        <f t="shared" si="3"/>
        <v>0</v>
      </c>
      <c r="M52" s="561"/>
    </row>
    <row r="53" spans="1:13" ht="18.95" customHeight="1">
      <c r="A53" s="1037" t="s">
        <v>229</v>
      </c>
      <c r="B53" s="1037" t="s">
        <v>773</v>
      </c>
      <c r="C53" s="554">
        <v>3.3000000000000002E-2</v>
      </c>
      <c r="D53" s="554">
        <v>0.4</v>
      </c>
      <c r="E53" s="554">
        <v>1.6E-2</v>
      </c>
      <c r="F53" s="554">
        <f t="shared" si="18"/>
        <v>0.38400000000000001</v>
      </c>
      <c r="G53" s="554">
        <f t="shared" si="17"/>
        <v>0.4</v>
      </c>
      <c r="H53" s="554"/>
      <c r="I53" s="554">
        <f>G53*1.1</f>
        <v>0.44000000000000006</v>
      </c>
      <c r="J53" s="1108">
        <v>0.44</v>
      </c>
      <c r="K53" s="1108">
        <f t="shared" si="2"/>
        <v>0.22</v>
      </c>
      <c r="L53" s="1108">
        <f t="shared" si="3"/>
        <v>0.22</v>
      </c>
      <c r="M53" s="561"/>
    </row>
    <row r="54" spans="1:13" ht="18.95" hidden="1" customHeight="1">
      <c r="A54" s="1177" t="s">
        <v>230</v>
      </c>
      <c r="B54" s="1178" t="s">
        <v>772</v>
      </c>
      <c r="C54" s="1057"/>
      <c r="D54" s="988"/>
      <c r="E54" s="988"/>
      <c r="F54" s="988"/>
      <c r="G54" s="988"/>
      <c r="H54" s="1057"/>
      <c r="I54" s="1057"/>
      <c r="J54" s="1119"/>
      <c r="K54" s="1108">
        <f t="shared" si="2"/>
        <v>0</v>
      </c>
      <c r="L54" s="1108">
        <f t="shared" si="3"/>
        <v>0</v>
      </c>
      <c r="M54" s="561"/>
    </row>
    <row r="55" spans="1:13" ht="18.95" hidden="1" customHeight="1">
      <c r="A55" s="497" t="s">
        <v>231</v>
      </c>
      <c r="B55" s="498" t="s">
        <v>1136</v>
      </c>
      <c r="C55" s="796"/>
      <c r="D55" s="503"/>
      <c r="E55" s="503"/>
      <c r="F55" s="503"/>
      <c r="G55" s="503"/>
      <c r="H55" s="796"/>
      <c r="I55" s="796"/>
      <c r="J55" s="1108"/>
      <c r="K55" s="1108">
        <f t="shared" si="2"/>
        <v>0</v>
      </c>
      <c r="L55" s="1108">
        <f t="shared" si="3"/>
        <v>0</v>
      </c>
      <c r="M55" s="561"/>
    </row>
    <row r="56" spans="1:13" ht="18.95" customHeight="1">
      <c r="A56" s="1180" t="s">
        <v>232</v>
      </c>
      <c r="B56" s="1181" t="s">
        <v>833</v>
      </c>
      <c r="C56" s="1182">
        <f t="shared" ref="C56" si="19">SUM(C57:C93)</f>
        <v>4.766</v>
      </c>
      <c r="D56" s="1182">
        <v>5.89</v>
      </c>
      <c r="E56" s="1182">
        <f t="shared" ref="E56:L56" si="20">SUM(E57:E93)</f>
        <v>2.5129999999999999</v>
      </c>
      <c r="F56" s="1182">
        <f t="shared" si="20"/>
        <v>3.5169999999999999</v>
      </c>
      <c r="G56" s="1182">
        <f t="shared" si="20"/>
        <v>6.0299999999999994</v>
      </c>
      <c r="H56" s="1182">
        <f t="shared" si="20"/>
        <v>0</v>
      </c>
      <c r="I56" s="1183">
        <f t="shared" si="20"/>
        <v>6.3580000000000005</v>
      </c>
      <c r="J56" s="1184">
        <f t="shared" si="20"/>
        <v>6.479000000000001</v>
      </c>
      <c r="K56" s="1184">
        <f t="shared" si="20"/>
        <v>3.2395000000000005</v>
      </c>
      <c r="L56" s="1184">
        <f t="shared" si="20"/>
        <v>3.2395000000000005</v>
      </c>
      <c r="M56" s="561"/>
    </row>
    <row r="57" spans="1:13" ht="18.95" customHeight="1">
      <c r="A57" s="1037" t="s">
        <v>233</v>
      </c>
      <c r="B57" s="1037" t="s">
        <v>234</v>
      </c>
      <c r="C57" s="554">
        <v>0.216</v>
      </c>
      <c r="D57" s="554">
        <v>0.6</v>
      </c>
      <c r="E57" s="554">
        <v>7.4999999999999997E-2</v>
      </c>
      <c r="F57" s="554">
        <f t="shared" ref="F57:F92" si="21">+D57-E57</f>
        <v>0.52500000000000002</v>
      </c>
      <c r="G57" s="554">
        <f t="shared" ref="G57:G92" si="22">+E57+F57</f>
        <v>0.6</v>
      </c>
      <c r="H57" s="554"/>
      <c r="I57" s="554">
        <f t="shared" ref="I57:I58" si="23">G57*1.1</f>
        <v>0.66</v>
      </c>
      <c r="J57" s="1108">
        <v>0.66</v>
      </c>
      <c r="K57" s="1108">
        <f t="shared" si="2"/>
        <v>0.33</v>
      </c>
      <c r="L57" s="1108">
        <f t="shared" si="3"/>
        <v>0.33</v>
      </c>
      <c r="M57" s="561"/>
    </row>
    <row r="58" spans="1:13" ht="18.95" customHeight="1">
      <c r="A58" s="1037" t="s">
        <v>235</v>
      </c>
      <c r="B58" s="1037" t="s">
        <v>771</v>
      </c>
      <c r="C58" s="554">
        <v>0.56699999999999995</v>
      </c>
      <c r="D58" s="554">
        <v>1</v>
      </c>
      <c r="E58" s="554">
        <v>0.16300000000000001</v>
      </c>
      <c r="F58" s="554">
        <f t="shared" si="21"/>
        <v>0.83699999999999997</v>
      </c>
      <c r="G58" s="554">
        <f t="shared" si="22"/>
        <v>1</v>
      </c>
      <c r="H58" s="554"/>
      <c r="I58" s="554">
        <f t="shared" si="23"/>
        <v>1.1000000000000001</v>
      </c>
      <c r="J58" s="1108">
        <v>1.1000000000000001</v>
      </c>
      <c r="K58" s="1108">
        <f t="shared" si="2"/>
        <v>0.55000000000000004</v>
      </c>
      <c r="L58" s="1108">
        <f t="shared" si="3"/>
        <v>0.55000000000000004</v>
      </c>
      <c r="M58" s="561"/>
    </row>
    <row r="59" spans="1:13" ht="25.5">
      <c r="A59" s="1037" t="s">
        <v>236</v>
      </c>
      <c r="B59" s="1037" t="s">
        <v>770</v>
      </c>
      <c r="C59" s="554">
        <v>0.25</v>
      </c>
      <c r="D59" s="554">
        <v>0.25</v>
      </c>
      <c r="E59" s="554"/>
      <c r="F59" s="554">
        <f t="shared" si="21"/>
        <v>0.25</v>
      </c>
      <c r="G59" s="554">
        <f t="shared" si="22"/>
        <v>0.25</v>
      </c>
      <c r="H59" s="554"/>
      <c r="I59" s="554"/>
      <c r="J59" s="1108">
        <v>0.27500000000000002</v>
      </c>
      <c r="K59" s="1108">
        <f t="shared" si="2"/>
        <v>0.13750000000000001</v>
      </c>
      <c r="L59" s="1108">
        <f t="shared" si="3"/>
        <v>0.13750000000000001</v>
      </c>
      <c r="M59" s="561"/>
    </row>
    <row r="60" spans="1:13" ht="18.95" hidden="1" customHeight="1">
      <c r="A60" s="1037" t="s">
        <v>237</v>
      </c>
      <c r="B60" s="1037" t="s">
        <v>769</v>
      </c>
      <c r="C60" s="554"/>
      <c r="D60" s="554"/>
      <c r="E60" s="554"/>
      <c r="F60" s="554">
        <f t="shared" si="21"/>
        <v>0</v>
      </c>
      <c r="G60" s="554">
        <f t="shared" si="22"/>
        <v>0</v>
      </c>
      <c r="H60" s="554"/>
      <c r="I60" s="554"/>
      <c r="J60" s="1108"/>
      <c r="K60" s="1108">
        <f t="shared" si="2"/>
        <v>0</v>
      </c>
      <c r="L60" s="1108">
        <f t="shared" si="3"/>
        <v>0</v>
      </c>
      <c r="M60" s="561"/>
    </row>
    <row r="61" spans="1:13" ht="18.95" hidden="1" customHeight="1">
      <c r="A61" s="1037" t="s">
        <v>238</v>
      </c>
      <c r="B61" s="1037" t="s">
        <v>768</v>
      </c>
      <c r="C61" s="554"/>
      <c r="D61" s="554"/>
      <c r="E61" s="554"/>
      <c r="F61" s="554">
        <f t="shared" si="21"/>
        <v>0</v>
      </c>
      <c r="G61" s="554">
        <f t="shared" si="22"/>
        <v>0</v>
      </c>
      <c r="H61" s="554"/>
      <c r="I61" s="554"/>
      <c r="J61" s="1108"/>
      <c r="K61" s="1108">
        <f t="shared" si="2"/>
        <v>0</v>
      </c>
      <c r="L61" s="1108">
        <f t="shared" si="3"/>
        <v>0</v>
      </c>
      <c r="M61" s="561"/>
    </row>
    <row r="62" spans="1:13" ht="18.95" customHeight="1">
      <c r="A62" s="1037" t="s">
        <v>239</v>
      </c>
      <c r="B62" s="1037" t="s">
        <v>767</v>
      </c>
      <c r="C62" s="554">
        <v>2.8000000000000001E-2</v>
      </c>
      <c r="D62" s="554">
        <v>0.2</v>
      </c>
      <c r="E62" s="554"/>
      <c r="F62" s="554">
        <f t="shared" si="21"/>
        <v>0.2</v>
      </c>
      <c r="G62" s="554">
        <f t="shared" si="22"/>
        <v>0.2</v>
      </c>
      <c r="H62" s="554"/>
      <c r="I62" s="554">
        <f t="shared" ref="I62" si="24">G62*1.1</f>
        <v>0.22000000000000003</v>
      </c>
      <c r="J62" s="1108">
        <v>0.22</v>
      </c>
      <c r="K62" s="1108">
        <f t="shared" si="2"/>
        <v>0.11</v>
      </c>
      <c r="L62" s="1108">
        <f t="shared" si="3"/>
        <v>0.11</v>
      </c>
      <c r="M62" s="561"/>
    </row>
    <row r="63" spans="1:13" ht="18.95" hidden="1" customHeight="1">
      <c r="A63" s="1037" t="s">
        <v>240</v>
      </c>
      <c r="B63" s="1037" t="s">
        <v>766</v>
      </c>
      <c r="C63" s="554"/>
      <c r="D63" s="554"/>
      <c r="E63" s="554"/>
      <c r="F63" s="554">
        <f t="shared" si="21"/>
        <v>0</v>
      </c>
      <c r="G63" s="554">
        <f t="shared" si="22"/>
        <v>0</v>
      </c>
      <c r="H63" s="554"/>
      <c r="I63" s="554"/>
      <c r="J63" s="1108"/>
      <c r="K63" s="1108">
        <f t="shared" si="2"/>
        <v>0</v>
      </c>
      <c r="L63" s="1108">
        <f t="shared" si="3"/>
        <v>0</v>
      </c>
      <c r="M63" s="561"/>
    </row>
    <row r="64" spans="1:13" ht="18.95" hidden="1" customHeight="1">
      <c r="A64" s="1037" t="s">
        <v>241</v>
      </c>
      <c r="B64" s="1037" t="s">
        <v>765</v>
      </c>
      <c r="C64" s="554"/>
      <c r="D64" s="554"/>
      <c r="E64" s="554"/>
      <c r="F64" s="554">
        <f t="shared" si="21"/>
        <v>0</v>
      </c>
      <c r="G64" s="554">
        <f t="shared" si="22"/>
        <v>0</v>
      </c>
      <c r="H64" s="554"/>
      <c r="I64" s="554"/>
      <c r="J64" s="1108"/>
      <c r="K64" s="1108">
        <f t="shared" si="2"/>
        <v>0</v>
      </c>
      <c r="L64" s="1108">
        <f t="shared" si="3"/>
        <v>0</v>
      </c>
      <c r="M64" s="561"/>
    </row>
    <row r="65" spans="1:13" ht="18.95" hidden="1" customHeight="1">
      <c r="A65" s="1037" t="s">
        <v>242</v>
      </c>
      <c r="B65" s="1037" t="s">
        <v>764</v>
      </c>
      <c r="C65" s="554"/>
      <c r="D65" s="554"/>
      <c r="E65" s="554"/>
      <c r="F65" s="554">
        <f t="shared" si="21"/>
        <v>0</v>
      </c>
      <c r="G65" s="554">
        <f t="shared" si="22"/>
        <v>0</v>
      </c>
      <c r="H65" s="554"/>
      <c r="I65" s="554"/>
      <c r="J65" s="1108"/>
      <c r="K65" s="1108">
        <f t="shared" si="2"/>
        <v>0</v>
      </c>
      <c r="L65" s="1108">
        <f t="shared" si="3"/>
        <v>0</v>
      </c>
      <c r="M65" s="561"/>
    </row>
    <row r="66" spans="1:13" ht="18.95" hidden="1" customHeight="1">
      <c r="A66" s="1037" t="s">
        <v>243</v>
      </c>
      <c r="B66" s="1037" t="s">
        <v>763</v>
      </c>
      <c r="C66" s="554"/>
      <c r="D66" s="554"/>
      <c r="E66" s="554"/>
      <c r="F66" s="554">
        <f t="shared" si="21"/>
        <v>0</v>
      </c>
      <c r="G66" s="554">
        <f t="shared" si="22"/>
        <v>0</v>
      </c>
      <c r="H66" s="554"/>
      <c r="I66" s="554"/>
      <c r="J66" s="1108"/>
      <c r="K66" s="1108">
        <f t="shared" si="2"/>
        <v>0</v>
      </c>
      <c r="L66" s="1108">
        <f t="shared" si="3"/>
        <v>0</v>
      </c>
      <c r="M66" s="561"/>
    </row>
    <row r="67" spans="1:13" ht="18.95" hidden="1" customHeight="1">
      <c r="A67" s="1037" t="s">
        <v>244</v>
      </c>
      <c r="B67" s="1037" t="s">
        <v>762</v>
      </c>
      <c r="C67" s="554"/>
      <c r="D67" s="554"/>
      <c r="E67" s="554"/>
      <c r="F67" s="554">
        <f t="shared" si="21"/>
        <v>0</v>
      </c>
      <c r="G67" s="554">
        <f t="shared" si="22"/>
        <v>0</v>
      </c>
      <c r="H67" s="554"/>
      <c r="I67" s="554"/>
      <c r="J67" s="1108"/>
      <c r="K67" s="1108">
        <f t="shared" si="2"/>
        <v>0</v>
      </c>
      <c r="L67" s="1108">
        <f t="shared" si="3"/>
        <v>0</v>
      </c>
      <c r="M67" s="561"/>
    </row>
    <row r="68" spans="1:13" ht="18.95" hidden="1" customHeight="1">
      <c r="A68" s="1037" t="s">
        <v>245</v>
      </c>
      <c r="B68" s="1037" t="s">
        <v>761</v>
      </c>
      <c r="C68" s="554"/>
      <c r="D68" s="554"/>
      <c r="E68" s="554"/>
      <c r="F68" s="554">
        <f t="shared" si="21"/>
        <v>0</v>
      </c>
      <c r="G68" s="554">
        <f t="shared" si="22"/>
        <v>0</v>
      </c>
      <c r="H68" s="554"/>
      <c r="I68" s="554"/>
      <c r="J68" s="1108"/>
      <c r="K68" s="1108">
        <f t="shared" si="2"/>
        <v>0</v>
      </c>
      <c r="L68" s="1108">
        <f t="shared" si="3"/>
        <v>0</v>
      </c>
      <c r="M68" s="561"/>
    </row>
    <row r="69" spans="1:13" ht="18.95" hidden="1" customHeight="1">
      <c r="A69" s="1037" t="s">
        <v>246</v>
      </c>
      <c r="B69" s="1037" t="s">
        <v>760</v>
      </c>
      <c r="C69" s="554"/>
      <c r="D69" s="554"/>
      <c r="E69" s="554"/>
      <c r="F69" s="554">
        <f t="shared" si="21"/>
        <v>0</v>
      </c>
      <c r="G69" s="554">
        <f t="shared" si="22"/>
        <v>0</v>
      </c>
      <c r="H69" s="554"/>
      <c r="I69" s="554"/>
      <c r="J69" s="1108"/>
      <c r="K69" s="1108">
        <f t="shared" si="2"/>
        <v>0</v>
      </c>
      <c r="L69" s="1108">
        <f t="shared" si="3"/>
        <v>0</v>
      </c>
      <c r="M69" s="561"/>
    </row>
    <row r="70" spans="1:13" ht="18.95" customHeight="1">
      <c r="A70" s="1037" t="s">
        <v>247</v>
      </c>
      <c r="B70" s="1193" t="s">
        <v>759</v>
      </c>
      <c r="C70" s="554"/>
      <c r="D70" s="554">
        <v>0.3</v>
      </c>
      <c r="E70" s="554"/>
      <c r="F70" s="554">
        <f t="shared" si="21"/>
        <v>0.3</v>
      </c>
      <c r="G70" s="554">
        <f t="shared" si="22"/>
        <v>0.3</v>
      </c>
      <c r="H70" s="554"/>
      <c r="I70" s="554">
        <f t="shared" ref="I70" si="25">G70*1.1</f>
        <v>0.33</v>
      </c>
      <c r="J70" s="1108">
        <v>0.33</v>
      </c>
      <c r="K70" s="1108">
        <f t="shared" si="2"/>
        <v>0.16500000000000001</v>
      </c>
      <c r="L70" s="1108">
        <f t="shared" si="3"/>
        <v>0.16500000000000001</v>
      </c>
      <c r="M70" s="561"/>
    </row>
    <row r="71" spans="1:13" ht="18.95" hidden="1" customHeight="1">
      <c r="A71" s="1037" t="s">
        <v>248</v>
      </c>
      <c r="B71" s="1037" t="s">
        <v>758</v>
      </c>
      <c r="C71" s="554"/>
      <c r="D71" s="554"/>
      <c r="E71" s="554"/>
      <c r="F71" s="554">
        <f t="shared" si="21"/>
        <v>0</v>
      </c>
      <c r="G71" s="554">
        <f t="shared" si="22"/>
        <v>0</v>
      </c>
      <c r="H71" s="554"/>
      <c r="I71" s="554"/>
      <c r="J71" s="1108"/>
      <c r="K71" s="1108">
        <f t="shared" si="2"/>
        <v>0</v>
      </c>
      <c r="L71" s="1108">
        <f t="shared" si="3"/>
        <v>0</v>
      </c>
      <c r="M71" s="561"/>
    </row>
    <row r="72" spans="1:13" ht="18.95" hidden="1" customHeight="1">
      <c r="A72" s="1037" t="s">
        <v>249</v>
      </c>
      <c r="B72" s="1037" t="s">
        <v>757</v>
      </c>
      <c r="C72" s="554"/>
      <c r="D72" s="554"/>
      <c r="E72" s="554"/>
      <c r="F72" s="554">
        <f t="shared" si="21"/>
        <v>0</v>
      </c>
      <c r="G72" s="554">
        <f t="shared" si="22"/>
        <v>0</v>
      </c>
      <c r="H72" s="554"/>
      <c r="I72" s="554"/>
      <c r="J72" s="1108"/>
      <c r="K72" s="1108">
        <f t="shared" si="2"/>
        <v>0</v>
      </c>
      <c r="L72" s="1108">
        <f t="shared" si="3"/>
        <v>0</v>
      </c>
      <c r="M72" s="561"/>
    </row>
    <row r="73" spans="1:13" ht="18.95" hidden="1" customHeight="1">
      <c r="A73" s="1037" t="s">
        <v>250</v>
      </c>
      <c r="B73" s="1037" t="s">
        <v>756</v>
      </c>
      <c r="C73" s="554"/>
      <c r="D73" s="554"/>
      <c r="E73" s="554"/>
      <c r="F73" s="554">
        <f t="shared" si="21"/>
        <v>0</v>
      </c>
      <c r="G73" s="554">
        <f t="shared" si="22"/>
        <v>0</v>
      </c>
      <c r="H73" s="554"/>
      <c r="I73" s="554"/>
      <c r="J73" s="1108"/>
      <c r="K73" s="1108">
        <f t="shared" si="2"/>
        <v>0</v>
      </c>
      <c r="L73" s="1108">
        <f t="shared" si="3"/>
        <v>0</v>
      </c>
      <c r="M73" s="561"/>
    </row>
    <row r="74" spans="1:13" ht="18.95" hidden="1" customHeight="1">
      <c r="A74" s="1037" t="s">
        <v>251</v>
      </c>
      <c r="B74" s="1037" t="s">
        <v>755</v>
      </c>
      <c r="C74" s="554"/>
      <c r="D74" s="554"/>
      <c r="E74" s="554"/>
      <c r="F74" s="554">
        <f t="shared" si="21"/>
        <v>0</v>
      </c>
      <c r="G74" s="554">
        <f t="shared" si="22"/>
        <v>0</v>
      </c>
      <c r="H74" s="554"/>
      <c r="I74" s="554"/>
      <c r="J74" s="1108"/>
      <c r="K74" s="1108">
        <f t="shared" si="2"/>
        <v>0</v>
      </c>
      <c r="L74" s="1108">
        <f t="shared" si="3"/>
        <v>0</v>
      </c>
      <c r="M74" s="561"/>
    </row>
    <row r="75" spans="1:13" ht="18.95" hidden="1" customHeight="1">
      <c r="A75" s="1037" t="s">
        <v>252</v>
      </c>
      <c r="B75" s="1037" t="s">
        <v>754</v>
      </c>
      <c r="C75" s="554"/>
      <c r="D75" s="554"/>
      <c r="E75" s="554"/>
      <c r="F75" s="554">
        <f t="shared" si="21"/>
        <v>0</v>
      </c>
      <c r="G75" s="554">
        <f t="shared" si="22"/>
        <v>0</v>
      </c>
      <c r="H75" s="554"/>
      <c r="I75" s="554"/>
      <c r="J75" s="1108"/>
      <c r="K75" s="1108">
        <f t="shared" si="2"/>
        <v>0</v>
      </c>
      <c r="L75" s="1108">
        <f t="shared" si="3"/>
        <v>0</v>
      </c>
      <c r="M75" s="561"/>
    </row>
    <row r="76" spans="1:13" ht="18.95" customHeight="1">
      <c r="A76" s="1037" t="s">
        <v>253</v>
      </c>
      <c r="B76" s="1037" t="s">
        <v>753</v>
      </c>
      <c r="C76" s="554">
        <v>0.188</v>
      </c>
      <c r="D76" s="554">
        <v>0.3</v>
      </c>
      <c r="E76" s="554">
        <v>0.125</v>
      </c>
      <c r="F76" s="554">
        <f t="shared" si="21"/>
        <v>0.17499999999999999</v>
      </c>
      <c r="G76" s="554">
        <f t="shared" si="22"/>
        <v>0.3</v>
      </c>
      <c r="H76" s="554"/>
      <c r="I76" s="554">
        <f t="shared" ref="I76" si="26">G76*1.1</f>
        <v>0.33</v>
      </c>
      <c r="J76" s="1108">
        <v>0.33</v>
      </c>
      <c r="K76" s="1108">
        <f t="shared" si="2"/>
        <v>0.16500000000000001</v>
      </c>
      <c r="L76" s="1108">
        <f t="shared" si="3"/>
        <v>0.16500000000000001</v>
      </c>
      <c r="M76" s="561"/>
    </row>
    <row r="77" spans="1:13" ht="18.95" hidden="1" customHeight="1">
      <c r="A77" s="1037" t="s">
        <v>254</v>
      </c>
      <c r="B77" s="1037" t="s">
        <v>752</v>
      </c>
      <c r="C77" s="554"/>
      <c r="D77" s="554"/>
      <c r="E77" s="554"/>
      <c r="F77" s="554">
        <f t="shared" si="21"/>
        <v>0</v>
      </c>
      <c r="G77" s="554">
        <f t="shared" si="22"/>
        <v>0</v>
      </c>
      <c r="H77" s="554"/>
      <c r="I77" s="554"/>
      <c r="J77" s="1108"/>
      <c r="K77" s="1108">
        <f t="shared" si="2"/>
        <v>0</v>
      </c>
      <c r="L77" s="1108">
        <f t="shared" si="3"/>
        <v>0</v>
      </c>
      <c r="M77" s="561"/>
    </row>
    <row r="78" spans="1:13" ht="18.95" customHeight="1">
      <c r="A78" s="1037" t="s">
        <v>751</v>
      </c>
      <c r="B78" s="1037" t="s">
        <v>750</v>
      </c>
      <c r="C78" s="554"/>
      <c r="D78" s="554">
        <v>0.5</v>
      </c>
      <c r="E78" s="554"/>
      <c r="F78" s="554">
        <f t="shared" si="21"/>
        <v>0.5</v>
      </c>
      <c r="G78" s="554">
        <f t="shared" si="22"/>
        <v>0.5</v>
      </c>
      <c r="H78" s="554"/>
      <c r="I78" s="554">
        <f t="shared" ref="I78:I79" si="27">G78*1.1</f>
        <v>0.55000000000000004</v>
      </c>
      <c r="J78" s="1108">
        <v>0.55000000000000004</v>
      </c>
      <c r="K78" s="1108">
        <f t="shared" si="2"/>
        <v>0.27500000000000002</v>
      </c>
      <c r="L78" s="1108">
        <f t="shared" si="3"/>
        <v>0.27500000000000002</v>
      </c>
      <c r="M78" s="561"/>
    </row>
    <row r="79" spans="1:13" ht="18.95" customHeight="1">
      <c r="A79" s="1037" t="s">
        <v>749</v>
      </c>
      <c r="B79" s="1037" t="s">
        <v>748</v>
      </c>
      <c r="C79" s="554">
        <v>0.191</v>
      </c>
      <c r="D79" s="554">
        <v>0.24</v>
      </c>
      <c r="E79" s="554">
        <v>0.38</v>
      </c>
      <c r="F79" s="554"/>
      <c r="G79" s="554">
        <f t="shared" si="22"/>
        <v>0.38</v>
      </c>
      <c r="H79" s="554"/>
      <c r="I79" s="554">
        <f t="shared" si="27"/>
        <v>0.41800000000000004</v>
      </c>
      <c r="J79" s="1108">
        <v>0.26400000000000001</v>
      </c>
      <c r="K79" s="1108">
        <f t="shared" ref="K79:K142" si="28">+J79/2</f>
        <v>0.13200000000000001</v>
      </c>
      <c r="L79" s="1108">
        <f t="shared" ref="L79:L142" si="29">+J79/2</f>
        <v>0.13200000000000001</v>
      </c>
      <c r="M79" s="561"/>
    </row>
    <row r="80" spans="1:13" ht="18.95" hidden="1" customHeight="1">
      <c r="A80" s="1037" t="s">
        <v>747</v>
      </c>
      <c r="B80" s="1037" t="s">
        <v>746</v>
      </c>
      <c r="C80" s="554"/>
      <c r="D80" s="554"/>
      <c r="E80" s="554"/>
      <c r="F80" s="554">
        <f t="shared" si="21"/>
        <v>0</v>
      </c>
      <c r="G80" s="554">
        <f t="shared" si="22"/>
        <v>0</v>
      </c>
      <c r="H80" s="554"/>
      <c r="I80" s="554"/>
      <c r="J80" s="1108"/>
      <c r="K80" s="1108">
        <f t="shared" si="28"/>
        <v>0</v>
      </c>
      <c r="L80" s="1108">
        <f t="shared" si="29"/>
        <v>0</v>
      </c>
      <c r="M80" s="561"/>
    </row>
    <row r="81" spans="1:13" ht="18.95" hidden="1" customHeight="1">
      <c r="A81" s="1037" t="s">
        <v>255</v>
      </c>
      <c r="B81" s="1037" t="s">
        <v>745</v>
      </c>
      <c r="C81" s="554"/>
      <c r="D81" s="554"/>
      <c r="E81" s="554"/>
      <c r="F81" s="554">
        <f t="shared" si="21"/>
        <v>0</v>
      </c>
      <c r="G81" s="554">
        <f t="shared" si="22"/>
        <v>0</v>
      </c>
      <c r="H81" s="554"/>
      <c r="I81" s="554"/>
      <c r="J81" s="1108"/>
      <c r="K81" s="1108">
        <f t="shared" si="28"/>
        <v>0</v>
      </c>
      <c r="L81" s="1108">
        <f t="shared" si="29"/>
        <v>0</v>
      </c>
      <c r="M81" s="561"/>
    </row>
    <row r="82" spans="1:13" ht="18.95" hidden="1" customHeight="1">
      <c r="A82" s="1037" t="s">
        <v>256</v>
      </c>
      <c r="B82" s="1037" t="s">
        <v>16</v>
      </c>
      <c r="C82" s="554"/>
      <c r="D82" s="554"/>
      <c r="E82" s="554"/>
      <c r="F82" s="554">
        <f t="shared" si="21"/>
        <v>0</v>
      </c>
      <c r="G82" s="554">
        <f t="shared" si="22"/>
        <v>0</v>
      </c>
      <c r="H82" s="554"/>
      <c r="I82" s="554"/>
      <c r="J82" s="1108"/>
      <c r="K82" s="1108">
        <f t="shared" si="28"/>
        <v>0</v>
      </c>
      <c r="L82" s="1108">
        <f t="shared" si="29"/>
        <v>0</v>
      </c>
      <c r="M82" s="561"/>
    </row>
    <row r="83" spans="1:13" ht="25.5" hidden="1">
      <c r="A83" s="1037" t="s">
        <v>257</v>
      </c>
      <c r="B83" s="1037" t="s">
        <v>1003</v>
      </c>
      <c r="C83" s="554"/>
      <c r="D83" s="554"/>
      <c r="E83" s="554"/>
      <c r="F83" s="554">
        <f t="shared" si="21"/>
        <v>0</v>
      </c>
      <c r="G83" s="554">
        <f t="shared" si="22"/>
        <v>0</v>
      </c>
      <c r="H83" s="554"/>
      <c r="I83" s="554"/>
      <c r="J83" s="1108"/>
      <c r="K83" s="1108">
        <f t="shared" si="28"/>
        <v>0</v>
      </c>
      <c r="L83" s="1108">
        <f t="shared" si="29"/>
        <v>0</v>
      </c>
      <c r="M83" s="561"/>
    </row>
    <row r="84" spans="1:13" ht="25.5" hidden="1">
      <c r="A84" s="1037" t="s">
        <v>258</v>
      </c>
      <c r="B84" s="1037" t="s">
        <v>999</v>
      </c>
      <c r="C84" s="554"/>
      <c r="D84" s="554"/>
      <c r="E84" s="554"/>
      <c r="F84" s="554">
        <f t="shared" si="21"/>
        <v>0</v>
      </c>
      <c r="G84" s="554">
        <f t="shared" si="22"/>
        <v>0</v>
      </c>
      <c r="H84" s="554"/>
      <c r="I84" s="554"/>
      <c r="J84" s="1108"/>
      <c r="K84" s="1108">
        <f t="shared" si="28"/>
        <v>0</v>
      </c>
      <c r="L84" s="1108">
        <f t="shared" si="29"/>
        <v>0</v>
      </c>
      <c r="M84" s="561"/>
    </row>
    <row r="85" spans="1:13" ht="25.5" hidden="1">
      <c r="A85" s="1037" t="s">
        <v>259</v>
      </c>
      <c r="B85" s="1037" t="s">
        <v>1004</v>
      </c>
      <c r="C85" s="554"/>
      <c r="D85" s="554"/>
      <c r="E85" s="554"/>
      <c r="F85" s="554">
        <f t="shared" si="21"/>
        <v>0</v>
      </c>
      <c r="G85" s="554">
        <f t="shared" si="22"/>
        <v>0</v>
      </c>
      <c r="H85" s="554"/>
      <c r="I85" s="554"/>
      <c r="J85" s="1108"/>
      <c r="K85" s="1108">
        <f t="shared" si="28"/>
        <v>0</v>
      </c>
      <c r="L85" s="1108">
        <f t="shared" si="29"/>
        <v>0</v>
      </c>
      <c r="M85" s="561"/>
    </row>
    <row r="86" spans="1:13" ht="18.95" hidden="1" customHeight="1">
      <c r="A86" s="1037" t="s">
        <v>260</v>
      </c>
      <c r="B86" s="1037" t="s">
        <v>1000</v>
      </c>
      <c r="C86" s="554"/>
      <c r="D86" s="554"/>
      <c r="E86" s="554"/>
      <c r="F86" s="554">
        <f t="shared" si="21"/>
        <v>0</v>
      </c>
      <c r="G86" s="554">
        <f t="shared" si="22"/>
        <v>0</v>
      </c>
      <c r="H86" s="554"/>
      <c r="I86" s="554"/>
      <c r="J86" s="1108"/>
      <c r="K86" s="1108">
        <f t="shared" si="28"/>
        <v>0</v>
      </c>
      <c r="L86" s="1108">
        <f t="shared" si="29"/>
        <v>0</v>
      </c>
      <c r="M86" s="561"/>
    </row>
    <row r="87" spans="1:13" ht="18.95" customHeight="1">
      <c r="A87" s="1037" t="s">
        <v>237</v>
      </c>
      <c r="B87" s="1037" t="s">
        <v>1001</v>
      </c>
      <c r="C87" s="554"/>
      <c r="D87" s="554">
        <v>0.3</v>
      </c>
      <c r="E87" s="554">
        <v>0.02</v>
      </c>
      <c r="F87" s="554">
        <f t="shared" si="21"/>
        <v>0.27999999999999997</v>
      </c>
      <c r="G87" s="554">
        <f t="shared" si="22"/>
        <v>0.3</v>
      </c>
      <c r="H87" s="554"/>
      <c r="I87" s="554">
        <f t="shared" ref="I87" si="30">G87*1.1</f>
        <v>0.33</v>
      </c>
      <c r="J87" s="1108">
        <v>0.33</v>
      </c>
      <c r="K87" s="1108">
        <f t="shared" si="28"/>
        <v>0.16500000000000001</v>
      </c>
      <c r="L87" s="1108">
        <f t="shared" si="29"/>
        <v>0.16500000000000001</v>
      </c>
      <c r="M87" s="561"/>
    </row>
    <row r="88" spans="1:13" ht="18.95" hidden="1" customHeight="1">
      <c r="A88" s="1037" t="s">
        <v>997</v>
      </c>
      <c r="B88" s="1037" t="s">
        <v>1183</v>
      </c>
      <c r="C88" s="554"/>
      <c r="D88" s="554"/>
      <c r="E88" s="554"/>
      <c r="F88" s="554">
        <f t="shared" si="21"/>
        <v>0</v>
      </c>
      <c r="G88" s="554">
        <f t="shared" si="22"/>
        <v>0</v>
      </c>
      <c r="H88" s="554"/>
      <c r="I88" s="554"/>
      <c r="J88" s="1108"/>
      <c r="K88" s="1108">
        <f t="shared" si="28"/>
        <v>0</v>
      </c>
      <c r="L88" s="1108">
        <f t="shared" si="29"/>
        <v>0</v>
      </c>
      <c r="M88" s="561"/>
    </row>
    <row r="89" spans="1:13" ht="25.5">
      <c r="A89" s="1037" t="s">
        <v>998</v>
      </c>
      <c r="B89" s="1037" t="s">
        <v>1002</v>
      </c>
      <c r="C89" s="554">
        <v>3.3260000000000001</v>
      </c>
      <c r="D89" s="554">
        <v>2.2000000000000002</v>
      </c>
      <c r="E89" s="554">
        <v>1.75</v>
      </c>
      <c r="F89" s="554">
        <f t="shared" si="21"/>
        <v>0.45000000000000018</v>
      </c>
      <c r="G89" s="554">
        <f t="shared" si="22"/>
        <v>2.2000000000000002</v>
      </c>
      <c r="H89" s="554"/>
      <c r="I89" s="554">
        <f t="shared" ref="I89" si="31">G89*1.1</f>
        <v>2.4200000000000004</v>
      </c>
      <c r="J89" s="1108">
        <v>2.42</v>
      </c>
      <c r="K89" s="1108">
        <f t="shared" si="28"/>
        <v>1.21</v>
      </c>
      <c r="L89" s="1108">
        <f t="shared" si="29"/>
        <v>1.21</v>
      </c>
      <c r="M89" s="561"/>
    </row>
    <row r="90" spans="1:13" ht="25.5" hidden="1">
      <c r="A90" s="447" t="s">
        <v>1163</v>
      </c>
      <c r="B90" s="1038" t="s">
        <v>1164</v>
      </c>
      <c r="C90" s="554"/>
      <c r="D90" s="554"/>
      <c r="E90" s="554"/>
      <c r="F90" s="554">
        <f t="shared" si="21"/>
        <v>0</v>
      </c>
      <c r="G90" s="554">
        <f t="shared" si="22"/>
        <v>0</v>
      </c>
      <c r="H90" s="554"/>
      <c r="I90" s="554"/>
      <c r="J90" s="1108"/>
      <c r="K90" s="1108">
        <f t="shared" si="28"/>
        <v>0</v>
      </c>
      <c r="L90" s="1108">
        <f t="shared" si="29"/>
        <v>0</v>
      </c>
      <c r="M90" s="561"/>
    </row>
    <row r="91" spans="1:13" ht="18.95" hidden="1" customHeight="1">
      <c r="A91" s="447" t="s">
        <v>1165</v>
      </c>
      <c r="B91" s="1038" t="s">
        <v>1166</v>
      </c>
      <c r="C91" s="554"/>
      <c r="D91" s="554"/>
      <c r="E91" s="554"/>
      <c r="F91" s="554">
        <f t="shared" si="21"/>
        <v>0</v>
      </c>
      <c r="G91" s="554">
        <f t="shared" si="22"/>
        <v>0</v>
      </c>
      <c r="H91" s="554"/>
      <c r="I91" s="554"/>
      <c r="J91" s="1108"/>
      <c r="K91" s="1108">
        <f t="shared" si="28"/>
        <v>0</v>
      </c>
      <c r="L91" s="1108">
        <f t="shared" si="29"/>
        <v>0</v>
      </c>
      <c r="M91" s="561"/>
    </row>
    <row r="92" spans="1:13" ht="25.5">
      <c r="A92" s="447" t="s">
        <v>1167</v>
      </c>
      <c r="B92" s="1038" t="s">
        <v>1168</v>
      </c>
      <c r="C92" s="554"/>
      <c r="D92" s="554"/>
      <c r="E92" s="554"/>
      <c r="F92" s="554">
        <f t="shared" si="21"/>
        <v>0</v>
      </c>
      <c r="G92" s="554">
        <f t="shared" si="22"/>
        <v>0</v>
      </c>
      <c r="H92" s="554"/>
      <c r="I92" s="554">
        <f t="shared" ref="I92" si="32">G92*1.1</f>
        <v>0</v>
      </c>
      <c r="J92" s="1108"/>
      <c r="K92" s="1108">
        <f t="shared" si="28"/>
        <v>0</v>
      </c>
      <c r="L92" s="1108">
        <f t="shared" si="29"/>
        <v>0</v>
      </c>
      <c r="M92" s="561"/>
    </row>
    <row r="93" spans="1:13" ht="18.95" hidden="1" customHeight="1">
      <c r="A93" s="1209" t="s">
        <v>1169</v>
      </c>
      <c r="B93" s="1210" t="s">
        <v>1170</v>
      </c>
      <c r="C93" s="1057"/>
      <c r="D93" s="988"/>
      <c r="E93" s="988"/>
      <c r="F93" s="988"/>
      <c r="G93" s="988"/>
      <c r="H93" s="1057"/>
      <c r="I93" s="1057"/>
      <c r="J93" s="1119"/>
      <c r="K93" s="1108">
        <f t="shared" si="28"/>
        <v>0</v>
      </c>
      <c r="L93" s="1108">
        <f t="shared" si="29"/>
        <v>0</v>
      </c>
      <c r="M93" s="561"/>
    </row>
    <row r="94" spans="1:13" ht="18.95" customHeight="1">
      <c r="A94" s="521" t="s">
        <v>744</v>
      </c>
      <c r="B94" s="522" t="s">
        <v>743</v>
      </c>
      <c r="C94" s="517">
        <f>SUM(C56,C46,C41,C38,C31,C24,C19,C12,C9)</f>
        <v>17.747</v>
      </c>
      <c r="D94" s="517">
        <v>33.447804000000005</v>
      </c>
      <c r="E94" s="517">
        <f t="shared" ref="E94:G94" si="33">SUM(E56,E46,E41,E38,E31,E24,E19,E12,E9)</f>
        <v>17.279</v>
      </c>
      <c r="F94" s="517">
        <f t="shared" si="33"/>
        <v>10.232804</v>
      </c>
      <c r="G94" s="517">
        <f t="shared" si="33"/>
        <v>27.511803999999998</v>
      </c>
      <c r="H94" s="517">
        <f>SUM(H56,H46,H41,H38,H31,H24,H19,H12,H9)</f>
        <v>0</v>
      </c>
      <c r="I94" s="1064">
        <f>SUM(I56,I46,I41,I38,I31,I24,I19,I12,I9)</f>
        <v>23.380509999999997</v>
      </c>
      <c r="J94" s="1105">
        <f>SUM(J56,J46,J41,J38,J31,J24,J19,J12,J9)</f>
        <v>34.936804000000002</v>
      </c>
      <c r="K94" s="1105">
        <f t="shared" ref="K94:L94" si="34">SUM(K56,K46,K41,K38,K31,K24,K19,K12,K9)</f>
        <v>17.468402000000001</v>
      </c>
      <c r="L94" s="1105">
        <f t="shared" si="34"/>
        <v>17.468402000000001</v>
      </c>
      <c r="M94" s="561"/>
    </row>
    <row r="95" spans="1:13" ht="10.5" customHeight="1">
      <c r="A95" s="1303"/>
      <c r="B95" s="1304"/>
      <c r="C95" s="1304"/>
      <c r="D95" s="1304"/>
      <c r="E95" s="1304"/>
      <c r="F95" s="1304"/>
      <c r="G95" s="1304"/>
      <c r="H95" s="1305"/>
      <c r="I95" s="1305"/>
      <c r="J95" s="1108"/>
      <c r="K95" s="1108">
        <f t="shared" si="28"/>
        <v>0</v>
      </c>
      <c r="L95" s="1108">
        <f t="shared" si="29"/>
        <v>0</v>
      </c>
      <c r="M95" s="561"/>
    </row>
    <row r="96" spans="1:13" ht="18.95" customHeight="1">
      <c r="A96" s="521" t="s">
        <v>735</v>
      </c>
      <c r="B96" s="522" t="s">
        <v>834</v>
      </c>
      <c r="C96" s="517">
        <f>SUM(C97:C105)</f>
        <v>4.5889999999999995</v>
      </c>
      <c r="D96" s="517">
        <v>4.2</v>
      </c>
      <c r="E96" s="517">
        <f t="shared" ref="E96:G96" si="35">SUM(E97:E105)</f>
        <v>7.5670000000000002</v>
      </c>
      <c r="F96" s="517">
        <f t="shared" si="35"/>
        <v>2.2000000000000002</v>
      </c>
      <c r="G96" s="517">
        <f t="shared" si="35"/>
        <v>9.7669999999999995</v>
      </c>
      <c r="H96" s="517">
        <f>SUM(H97:H105)</f>
        <v>0</v>
      </c>
      <c r="I96" s="1064">
        <f>SUM(I97:I105)</f>
        <v>0</v>
      </c>
      <c r="J96" s="1105">
        <f>SUM(J97:J105)</f>
        <v>7.92</v>
      </c>
      <c r="K96" s="1105">
        <f t="shared" ref="K96:L96" si="36">SUM(K97:K105)</f>
        <v>3.96</v>
      </c>
      <c r="L96" s="1105">
        <f t="shared" si="36"/>
        <v>3.96</v>
      </c>
      <c r="M96" s="561"/>
    </row>
    <row r="97" spans="1:13" ht="18.95" hidden="1" customHeight="1">
      <c r="A97" s="500" t="s">
        <v>261</v>
      </c>
      <c r="B97" s="498" t="s">
        <v>262</v>
      </c>
      <c r="C97" s="796"/>
      <c r="D97" s="503"/>
      <c r="E97" s="503"/>
      <c r="F97" s="503"/>
      <c r="G97" s="503"/>
      <c r="H97" s="796"/>
      <c r="I97" s="796"/>
      <c r="J97" s="1108"/>
      <c r="K97" s="1108">
        <f t="shared" si="28"/>
        <v>0</v>
      </c>
      <c r="L97" s="1108">
        <f t="shared" si="29"/>
        <v>0</v>
      </c>
      <c r="M97" s="561"/>
    </row>
    <row r="98" spans="1:13" ht="18.95" hidden="1" customHeight="1">
      <c r="A98" s="500" t="s">
        <v>263</v>
      </c>
      <c r="B98" s="498" t="s">
        <v>742</v>
      </c>
      <c r="C98" s="796"/>
      <c r="D98" s="503"/>
      <c r="E98" s="503"/>
      <c r="F98" s="503"/>
      <c r="G98" s="503"/>
      <c r="H98" s="796"/>
      <c r="I98" s="796"/>
      <c r="J98" s="1108"/>
      <c r="K98" s="1108">
        <f t="shared" si="28"/>
        <v>0</v>
      </c>
      <c r="L98" s="1108">
        <f t="shared" si="29"/>
        <v>0</v>
      </c>
      <c r="M98" s="561"/>
    </row>
    <row r="99" spans="1:13" ht="18.95" hidden="1" customHeight="1">
      <c r="A99" s="500" t="s">
        <v>264</v>
      </c>
      <c r="B99" s="498" t="s">
        <v>265</v>
      </c>
      <c r="C99" s="796"/>
      <c r="D99" s="503"/>
      <c r="E99" s="503"/>
      <c r="F99" s="503"/>
      <c r="G99" s="503"/>
      <c r="H99" s="796"/>
      <c r="I99" s="796"/>
      <c r="J99" s="1108"/>
      <c r="K99" s="1108">
        <f t="shared" si="28"/>
        <v>0</v>
      </c>
      <c r="L99" s="1108">
        <f t="shared" si="29"/>
        <v>0</v>
      </c>
      <c r="M99" s="561"/>
    </row>
    <row r="100" spans="1:13" ht="18.95" hidden="1" customHeight="1">
      <c r="A100" s="500" t="s">
        <v>266</v>
      </c>
      <c r="B100" s="498" t="s">
        <v>741</v>
      </c>
      <c r="C100" s="796"/>
      <c r="D100" s="503"/>
      <c r="E100" s="503"/>
      <c r="F100" s="503"/>
      <c r="G100" s="503"/>
      <c r="H100" s="796"/>
      <c r="I100" s="796"/>
      <c r="J100" s="1108"/>
      <c r="K100" s="1108">
        <f t="shared" si="28"/>
        <v>0</v>
      </c>
      <c r="L100" s="1108">
        <f t="shared" si="29"/>
        <v>0</v>
      </c>
      <c r="M100" s="561"/>
    </row>
    <row r="101" spans="1:13" ht="18.95" hidden="1" customHeight="1">
      <c r="A101" s="500" t="s">
        <v>267</v>
      </c>
      <c r="B101" s="498" t="s">
        <v>740</v>
      </c>
      <c r="C101" s="796"/>
      <c r="D101" s="503"/>
      <c r="E101" s="503"/>
      <c r="F101" s="503"/>
      <c r="G101" s="503"/>
      <c r="H101" s="796"/>
      <c r="I101" s="796"/>
      <c r="J101" s="1108"/>
      <c r="K101" s="1108">
        <f t="shared" si="28"/>
        <v>0</v>
      </c>
      <c r="L101" s="1108">
        <f t="shared" si="29"/>
        <v>0</v>
      </c>
      <c r="M101" s="561"/>
    </row>
    <row r="102" spans="1:13" ht="18.95" hidden="1" customHeight="1">
      <c r="A102" s="500" t="s">
        <v>268</v>
      </c>
      <c r="B102" s="498" t="s">
        <v>739</v>
      </c>
      <c r="C102" s="796"/>
      <c r="D102" s="503"/>
      <c r="E102" s="503"/>
      <c r="F102" s="503"/>
      <c r="G102" s="503"/>
      <c r="H102" s="796"/>
      <c r="I102" s="796"/>
      <c r="J102" s="1108"/>
      <c r="K102" s="1108">
        <f t="shared" si="28"/>
        <v>0</v>
      </c>
      <c r="L102" s="1108">
        <f t="shared" si="29"/>
        <v>0</v>
      </c>
      <c r="M102" s="561"/>
    </row>
    <row r="103" spans="1:13" ht="18.95" hidden="1" customHeight="1">
      <c r="A103" s="1211" t="s">
        <v>269</v>
      </c>
      <c r="B103" s="1186" t="s">
        <v>738</v>
      </c>
      <c r="C103" s="1056"/>
      <c r="D103" s="984"/>
      <c r="E103" s="984"/>
      <c r="F103" s="984"/>
      <c r="G103" s="984"/>
      <c r="H103" s="1056"/>
      <c r="I103" s="1056"/>
      <c r="J103" s="1123"/>
      <c r="K103" s="1108">
        <f t="shared" si="28"/>
        <v>0</v>
      </c>
      <c r="L103" s="1108">
        <f t="shared" si="29"/>
        <v>0</v>
      </c>
      <c r="M103" s="561"/>
    </row>
    <row r="104" spans="1:13" ht="18.95" customHeight="1">
      <c r="A104" s="1039" t="s">
        <v>270</v>
      </c>
      <c r="B104" s="1037" t="s">
        <v>737</v>
      </c>
      <c r="C104" s="554">
        <v>3.3889999999999998</v>
      </c>
      <c r="D104" s="554">
        <v>3</v>
      </c>
      <c r="E104" s="554">
        <v>7.5670000000000002</v>
      </c>
      <c r="F104" s="554">
        <v>1</v>
      </c>
      <c r="G104" s="554">
        <f t="shared" ref="G104:G105" si="37">+E104+F104</f>
        <v>8.5670000000000002</v>
      </c>
      <c r="H104" s="554"/>
      <c r="I104" s="554"/>
      <c r="J104" s="1108">
        <v>6.6</v>
      </c>
      <c r="K104" s="1108">
        <f t="shared" si="28"/>
        <v>3.3</v>
      </c>
      <c r="L104" s="1108">
        <f t="shared" si="29"/>
        <v>3.3</v>
      </c>
      <c r="M104" s="561"/>
    </row>
    <row r="105" spans="1:13" ht="18.95" customHeight="1">
      <c r="A105" s="1037" t="s">
        <v>271</v>
      </c>
      <c r="B105" s="1037" t="s">
        <v>736</v>
      </c>
      <c r="C105" s="554">
        <v>1.2</v>
      </c>
      <c r="D105" s="554">
        <v>1.2</v>
      </c>
      <c r="E105" s="554"/>
      <c r="F105" s="554">
        <f t="shared" ref="F105" si="38">+D105-E105</f>
        <v>1.2</v>
      </c>
      <c r="G105" s="554">
        <f t="shared" si="37"/>
        <v>1.2</v>
      </c>
      <c r="H105" s="554"/>
      <c r="I105" s="554"/>
      <c r="J105" s="1108">
        <v>1.32</v>
      </c>
      <c r="K105" s="1108">
        <f t="shared" si="28"/>
        <v>0.66</v>
      </c>
      <c r="L105" s="1108">
        <f t="shared" si="29"/>
        <v>0.66</v>
      </c>
      <c r="M105" s="561"/>
    </row>
    <row r="106" spans="1:13" ht="18.95" customHeight="1">
      <c r="A106" s="1172" t="s">
        <v>726</v>
      </c>
      <c r="B106" s="1173" t="s">
        <v>835</v>
      </c>
      <c r="C106" s="1197">
        <f>SUM(C107:C118)</f>
        <v>0</v>
      </c>
      <c r="D106" s="1197">
        <f t="shared" ref="D106" si="39">SUM(D107:D118)</f>
        <v>0.24199999999999999</v>
      </c>
      <c r="E106" s="1197">
        <f t="shared" ref="E106:G106" si="40">SUM(E107:E118)</f>
        <v>0.06</v>
      </c>
      <c r="F106" s="1197">
        <f t="shared" si="40"/>
        <v>0.182</v>
      </c>
      <c r="G106" s="1197">
        <f t="shared" si="40"/>
        <v>0.24199999999999999</v>
      </c>
      <c r="H106" s="1197">
        <f>SUM(H107:H118)</f>
        <v>0</v>
      </c>
      <c r="I106" s="1198">
        <f>SUM(I107:I118)</f>
        <v>0.26619999999999999</v>
      </c>
      <c r="J106" s="1212">
        <f>SUM(J107:J118)</f>
        <v>0.26600000000000001</v>
      </c>
      <c r="K106" s="1212">
        <f t="shared" ref="K106:L106" si="41">SUM(K107:K118)</f>
        <v>0.13300000000000001</v>
      </c>
      <c r="L106" s="1212">
        <f t="shared" si="41"/>
        <v>0.13300000000000001</v>
      </c>
      <c r="M106" s="561"/>
    </row>
    <row r="107" spans="1:13" ht="18.95" customHeight="1">
      <c r="A107" s="1037" t="s">
        <v>176</v>
      </c>
      <c r="B107" s="1037" t="s">
        <v>177</v>
      </c>
      <c r="C107" s="554"/>
      <c r="D107" s="554">
        <v>0.24199999999999999</v>
      </c>
      <c r="E107" s="554">
        <v>0.06</v>
      </c>
      <c r="F107" s="554">
        <f>+D107-E107</f>
        <v>0.182</v>
      </c>
      <c r="G107" s="554">
        <f>+E107+F107</f>
        <v>0.24199999999999999</v>
      </c>
      <c r="H107" s="554"/>
      <c r="I107" s="554">
        <f>G107*1.1</f>
        <v>0.26619999999999999</v>
      </c>
      <c r="J107" s="1108">
        <v>0.26600000000000001</v>
      </c>
      <c r="K107" s="1108">
        <f t="shared" si="28"/>
        <v>0.13300000000000001</v>
      </c>
      <c r="L107" s="1108">
        <f t="shared" si="29"/>
        <v>0.13300000000000001</v>
      </c>
      <c r="M107" s="561"/>
    </row>
    <row r="108" spans="1:13" ht="18.95" hidden="1" customHeight="1">
      <c r="A108" s="1177" t="s">
        <v>178</v>
      </c>
      <c r="B108" s="1178" t="s">
        <v>734</v>
      </c>
      <c r="C108" s="1057"/>
      <c r="D108" s="988"/>
      <c r="E108" s="988"/>
      <c r="F108" s="988"/>
      <c r="G108" s="988"/>
      <c r="H108" s="1057"/>
      <c r="I108" s="1057"/>
      <c r="J108" s="1119"/>
      <c r="K108" s="1108">
        <f t="shared" si="28"/>
        <v>0</v>
      </c>
      <c r="L108" s="1108">
        <f t="shared" si="29"/>
        <v>0</v>
      </c>
      <c r="M108" s="561"/>
    </row>
    <row r="109" spans="1:13" ht="18.95" hidden="1" customHeight="1">
      <c r="A109" s="497" t="s">
        <v>179</v>
      </c>
      <c r="B109" s="498" t="s">
        <v>733</v>
      </c>
      <c r="C109" s="796"/>
      <c r="D109" s="503"/>
      <c r="E109" s="503"/>
      <c r="F109" s="503"/>
      <c r="G109" s="503"/>
      <c r="H109" s="796"/>
      <c r="I109" s="796"/>
      <c r="J109" s="1108"/>
      <c r="K109" s="1108">
        <f t="shared" si="28"/>
        <v>0</v>
      </c>
      <c r="L109" s="1108">
        <f t="shared" si="29"/>
        <v>0</v>
      </c>
      <c r="M109" s="561"/>
    </row>
    <row r="110" spans="1:13" ht="18.95" hidden="1" customHeight="1">
      <c r="A110" s="497" t="s">
        <v>180</v>
      </c>
      <c r="B110" s="498" t="s">
        <v>732</v>
      </c>
      <c r="C110" s="796"/>
      <c r="D110" s="503"/>
      <c r="E110" s="503"/>
      <c r="F110" s="503"/>
      <c r="G110" s="503"/>
      <c r="H110" s="796"/>
      <c r="I110" s="796"/>
      <c r="J110" s="1108"/>
      <c r="K110" s="1108">
        <f t="shared" si="28"/>
        <v>0</v>
      </c>
      <c r="L110" s="1108">
        <f t="shared" si="29"/>
        <v>0</v>
      </c>
      <c r="M110" s="561"/>
    </row>
    <row r="111" spans="1:13" ht="18.95" hidden="1" customHeight="1">
      <c r="A111" s="497" t="s">
        <v>181</v>
      </c>
      <c r="B111" s="498" t="s">
        <v>731</v>
      </c>
      <c r="C111" s="796"/>
      <c r="D111" s="503"/>
      <c r="E111" s="503"/>
      <c r="F111" s="503"/>
      <c r="G111" s="503"/>
      <c r="H111" s="796"/>
      <c r="I111" s="796"/>
      <c r="J111" s="1108"/>
      <c r="K111" s="1108">
        <f t="shared" si="28"/>
        <v>0</v>
      </c>
      <c r="L111" s="1108">
        <f t="shared" si="29"/>
        <v>0</v>
      </c>
      <c r="M111" s="561"/>
    </row>
    <row r="112" spans="1:13" ht="18.95" hidden="1" customHeight="1">
      <c r="A112" s="497" t="s">
        <v>182</v>
      </c>
      <c r="B112" s="498" t="s">
        <v>183</v>
      </c>
      <c r="C112" s="796"/>
      <c r="D112" s="503"/>
      <c r="E112" s="503"/>
      <c r="F112" s="503"/>
      <c r="G112" s="503"/>
      <c r="H112" s="796"/>
      <c r="I112" s="796"/>
      <c r="J112" s="1108"/>
      <c r="K112" s="1108">
        <f t="shared" si="28"/>
        <v>0</v>
      </c>
      <c r="L112" s="1108">
        <f t="shared" si="29"/>
        <v>0</v>
      </c>
      <c r="M112" s="561"/>
    </row>
    <row r="113" spans="1:13" ht="18.95" hidden="1" customHeight="1">
      <c r="A113" s="497" t="s">
        <v>184</v>
      </c>
      <c r="B113" s="498" t="s">
        <v>164</v>
      </c>
      <c r="C113" s="796"/>
      <c r="D113" s="503"/>
      <c r="E113" s="503"/>
      <c r="F113" s="503"/>
      <c r="G113" s="503"/>
      <c r="H113" s="796"/>
      <c r="I113" s="796"/>
      <c r="J113" s="1108"/>
      <c r="K113" s="1108">
        <f t="shared" si="28"/>
        <v>0</v>
      </c>
      <c r="L113" s="1108">
        <f t="shared" si="29"/>
        <v>0</v>
      </c>
      <c r="M113" s="561"/>
    </row>
    <row r="114" spans="1:13" ht="18.95" hidden="1" customHeight="1">
      <c r="A114" s="497" t="s">
        <v>185</v>
      </c>
      <c r="B114" s="498" t="s">
        <v>166</v>
      </c>
      <c r="C114" s="796"/>
      <c r="D114" s="503"/>
      <c r="E114" s="503"/>
      <c r="F114" s="503"/>
      <c r="G114" s="503"/>
      <c r="H114" s="796"/>
      <c r="I114" s="796"/>
      <c r="J114" s="1108"/>
      <c r="K114" s="1108">
        <f t="shared" si="28"/>
        <v>0</v>
      </c>
      <c r="L114" s="1108">
        <f t="shared" si="29"/>
        <v>0</v>
      </c>
      <c r="M114" s="561"/>
    </row>
    <row r="115" spans="1:13" ht="18.95" hidden="1" customHeight="1">
      <c r="A115" s="497" t="s">
        <v>186</v>
      </c>
      <c r="B115" s="498" t="s">
        <v>730</v>
      </c>
      <c r="C115" s="796"/>
      <c r="D115" s="503"/>
      <c r="E115" s="503"/>
      <c r="F115" s="503"/>
      <c r="G115" s="503"/>
      <c r="H115" s="796"/>
      <c r="I115" s="796"/>
      <c r="J115" s="1108"/>
      <c r="K115" s="1108">
        <f t="shared" si="28"/>
        <v>0</v>
      </c>
      <c r="L115" s="1108">
        <f t="shared" si="29"/>
        <v>0</v>
      </c>
      <c r="M115" s="561"/>
    </row>
    <row r="116" spans="1:13" ht="18.95" hidden="1" customHeight="1">
      <c r="A116" s="497" t="s">
        <v>187</v>
      </c>
      <c r="B116" s="498" t="s">
        <v>729</v>
      </c>
      <c r="C116" s="796"/>
      <c r="D116" s="503"/>
      <c r="E116" s="503"/>
      <c r="F116" s="503"/>
      <c r="G116" s="503"/>
      <c r="H116" s="796"/>
      <c r="I116" s="796"/>
      <c r="J116" s="1108"/>
      <c r="K116" s="1108">
        <f t="shared" si="28"/>
        <v>0</v>
      </c>
      <c r="L116" s="1108">
        <f t="shared" si="29"/>
        <v>0</v>
      </c>
      <c r="M116" s="561"/>
    </row>
    <row r="117" spans="1:13" ht="18.95" hidden="1" customHeight="1">
      <c r="A117" s="497" t="s">
        <v>188</v>
      </c>
      <c r="B117" s="498" t="s">
        <v>728</v>
      </c>
      <c r="C117" s="796"/>
      <c r="D117" s="503"/>
      <c r="E117" s="503"/>
      <c r="F117" s="503"/>
      <c r="G117" s="503"/>
      <c r="H117" s="796"/>
      <c r="I117" s="796"/>
      <c r="J117" s="1108"/>
      <c r="K117" s="1108">
        <f t="shared" si="28"/>
        <v>0</v>
      </c>
      <c r="L117" s="1108">
        <f t="shared" si="29"/>
        <v>0</v>
      </c>
      <c r="M117" s="561"/>
    </row>
    <row r="118" spans="1:13" ht="18.95" hidden="1" customHeight="1">
      <c r="A118" s="497" t="s">
        <v>189</v>
      </c>
      <c r="B118" s="498" t="s">
        <v>727</v>
      </c>
      <c r="C118" s="796"/>
      <c r="D118" s="503"/>
      <c r="E118" s="503"/>
      <c r="F118" s="503"/>
      <c r="G118" s="503"/>
      <c r="H118" s="796"/>
      <c r="I118" s="796"/>
      <c r="J118" s="1108"/>
      <c r="K118" s="1108">
        <f t="shared" si="28"/>
        <v>0</v>
      </c>
      <c r="L118" s="1108">
        <f t="shared" si="29"/>
        <v>0</v>
      </c>
      <c r="M118" s="561"/>
    </row>
    <row r="119" spans="1:13" ht="18.95" hidden="1" customHeight="1">
      <c r="A119" s="521" t="s">
        <v>190</v>
      </c>
      <c r="B119" s="522" t="s">
        <v>836</v>
      </c>
      <c r="C119" s="1058"/>
      <c r="D119" s="516"/>
      <c r="E119" s="516">
        <f t="shared" ref="E119:F119" si="42">SUM(E120:E121)</f>
        <v>0</v>
      </c>
      <c r="F119" s="516">
        <f t="shared" si="42"/>
        <v>0</v>
      </c>
      <c r="G119" s="516"/>
      <c r="H119" s="1058"/>
      <c r="I119" s="1058">
        <f>G119</f>
        <v>0</v>
      </c>
      <c r="J119" s="1108"/>
      <c r="K119" s="1108">
        <f t="shared" si="28"/>
        <v>0</v>
      </c>
      <c r="L119" s="1108">
        <f t="shared" si="29"/>
        <v>0</v>
      </c>
      <c r="M119" s="561"/>
    </row>
    <row r="120" spans="1:13" ht="18.95" hidden="1" customHeight="1">
      <c r="A120" s="497" t="s">
        <v>191</v>
      </c>
      <c r="B120" s="498" t="s">
        <v>724</v>
      </c>
      <c r="C120" s="796"/>
      <c r="D120" s="503"/>
      <c r="E120" s="503"/>
      <c r="F120" s="503"/>
      <c r="G120" s="503"/>
      <c r="H120" s="796"/>
      <c r="I120" s="796"/>
      <c r="J120" s="1108"/>
      <c r="K120" s="1108">
        <f t="shared" si="28"/>
        <v>0</v>
      </c>
      <c r="L120" s="1108">
        <f t="shared" si="29"/>
        <v>0</v>
      </c>
      <c r="M120" s="561"/>
    </row>
    <row r="121" spans="1:13" ht="18.95" hidden="1" customHeight="1">
      <c r="A121" s="497" t="s">
        <v>192</v>
      </c>
      <c r="B121" s="498" t="s">
        <v>725</v>
      </c>
      <c r="C121" s="796"/>
      <c r="D121" s="503"/>
      <c r="E121" s="503"/>
      <c r="F121" s="503"/>
      <c r="G121" s="503"/>
      <c r="H121" s="796"/>
      <c r="I121" s="796"/>
      <c r="J121" s="1108"/>
      <c r="K121" s="1108">
        <f t="shared" si="28"/>
        <v>0</v>
      </c>
      <c r="L121" s="1108">
        <f t="shared" si="29"/>
        <v>0</v>
      </c>
      <c r="M121" s="561"/>
    </row>
    <row r="122" spans="1:13" ht="18.95" hidden="1" customHeight="1">
      <c r="A122" s="521" t="s">
        <v>193</v>
      </c>
      <c r="B122" s="522" t="s">
        <v>844</v>
      </c>
      <c r="C122" s="1058"/>
      <c r="D122" s="516"/>
      <c r="E122" s="516">
        <f t="shared" ref="E122:F122" si="43">SUM(E123:E124)</f>
        <v>0</v>
      </c>
      <c r="F122" s="516">
        <f t="shared" si="43"/>
        <v>0</v>
      </c>
      <c r="G122" s="516"/>
      <c r="H122" s="1058"/>
      <c r="I122" s="1058">
        <f>G122</f>
        <v>0</v>
      </c>
      <c r="J122" s="1108"/>
      <c r="K122" s="1108">
        <f t="shared" si="28"/>
        <v>0</v>
      </c>
      <c r="L122" s="1108">
        <f t="shared" si="29"/>
        <v>0</v>
      </c>
      <c r="M122" s="561"/>
    </row>
    <row r="123" spans="1:13" ht="18.95" hidden="1" customHeight="1">
      <c r="A123" s="497" t="s">
        <v>194</v>
      </c>
      <c r="B123" s="498" t="s">
        <v>723</v>
      </c>
      <c r="C123" s="796"/>
      <c r="D123" s="503"/>
      <c r="E123" s="503"/>
      <c r="F123" s="503"/>
      <c r="G123" s="503"/>
      <c r="H123" s="796"/>
      <c r="I123" s="796"/>
      <c r="J123" s="1108"/>
      <c r="K123" s="1108">
        <f t="shared" si="28"/>
        <v>0</v>
      </c>
      <c r="L123" s="1108">
        <f t="shared" si="29"/>
        <v>0</v>
      </c>
      <c r="M123" s="561"/>
    </row>
    <row r="124" spans="1:13" ht="18.95" hidden="1" customHeight="1">
      <c r="A124" s="497" t="s">
        <v>195</v>
      </c>
      <c r="B124" s="498" t="s">
        <v>722</v>
      </c>
      <c r="C124" s="796"/>
      <c r="D124" s="503"/>
      <c r="E124" s="503"/>
      <c r="F124" s="503"/>
      <c r="G124" s="503"/>
      <c r="H124" s="796"/>
      <c r="I124" s="796"/>
      <c r="J124" s="1108"/>
      <c r="K124" s="1108">
        <f t="shared" si="28"/>
        <v>0</v>
      </c>
      <c r="L124" s="1108">
        <f t="shared" si="29"/>
        <v>0</v>
      </c>
      <c r="M124" s="561"/>
    </row>
    <row r="125" spans="1:13" ht="18.95" hidden="1" customHeight="1">
      <c r="A125" s="521" t="s">
        <v>716</v>
      </c>
      <c r="B125" s="522" t="s">
        <v>837</v>
      </c>
      <c r="C125" s="1058"/>
      <c r="D125" s="516"/>
      <c r="E125" s="516">
        <f t="shared" ref="E125:F125" si="44">SUM(E126:E132)</f>
        <v>0</v>
      </c>
      <c r="F125" s="516">
        <f t="shared" si="44"/>
        <v>0</v>
      </c>
      <c r="G125" s="516"/>
      <c r="H125" s="1058"/>
      <c r="I125" s="1058">
        <f>G125</f>
        <v>0</v>
      </c>
      <c r="J125" s="1108"/>
      <c r="K125" s="1108">
        <f t="shared" si="28"/>
        <v>0</v>
      </c>
      <c r="L125" s="1108">
        <f t="shared" si="29"/>
        <v>0</v>
      </c>
      <c r="M125" s="561"/>
    </row>
    <row r="126" spans="1:13" ht="18.95" hidden="1" customHeight="1">
      <c r="A126" s="497" t="s">
        <v>272</v>
      </c>
      <c r="B126" s="498" t="s">
        <v>721</v>
      </c>
      <c r="C126" s="796"/>
      <c r="D126" s="503"/>
      <c r="E126" s="503"/>
      <c r="F126" s="503"/>
      <c r="G126" s="503"/>
      <c r="H126" s="796"/>
      <c r="I126" s="796"/>
      <c r="J126" s="1108"/>
      <c r="K126" s="1108">
        <f t="shared" si="28"/>
        <v>0</v>
      </c>
      <c r="L126" s="1108">
        <f t="shared" si="29"/>
        <v>0</v>
      </c>
      <c r="M126" s="561"/>
    </row>
    <row r="127" spans="1:13" ht="18.95" hidden="1" customHeight="1">
      <c r="A127" s="497" t="s">
        <v>273</v>
      </c>
      <c r="B127" s="498" t="s">
        <v>720</v>
      </c>
      <c r="C127" s="796"/>
      <c r="D127" s="503"/>
      <c r="E127" s="503"/>
      <c r="F127" s="503"/>
      <c r="G127" s="503"/>
      <c r="H127" s="796"/>
      <c r="I127" s="796"/>
      <c r="J127" s="1108"/>
      <c r="K127" s="1108">
        <f t="shared" si="28"/>
        <v>0</v>
      </c>
      <c r="L127" s="1108">
        <f t="shared" si="29"/>
        <v>0</v>
      </c>
      <c r="M127" s="561"/>
    </row>
    <row r="128" spans="1:13" ht="18.95" hidden="1" customHeight="1">
      <c r="A128" s="497" t="s">
        <v>274</v>
      </c>
      <c r="B128" s="498" t="s">
        <v>1171</v>
      </c>
      <c r="C128" s="796"/>
      <c r="D128" s="503"/>
      <c r="E128" s="503"/>
      <c r="F128" s="503"/>
      <c r="G128" s="503"/>
      <c r="H128" s="796"/>
      <c r="I128" s="796"/>
      <c r="J128" s="1108"/>
      <c r="K128" s="1108">
        <f t="shared" si="28"/>
        <v>0</v>
      </c>
      <c r="L128" s="1108">
        <f t="shared" si="29"/>
        <v>0</v>
      </c>
      <c r="M128" s="561"/>
    </row>
    <row r="129" spans="1:13" ht="18.95" hidden="1" customHeight="1">
      <c r="A129" s="497" t="s">
        <v>275</v>
      </c>
      <c r="B129" s="498" t="s">
        <v>719</v>
      </c>
      <c r="C129" s="796"/>
      <c r="D129" s="503"/>
      <c r="E129" s="503"/>
      <c r="F129" s="503"/>
      <c r="G129" s="503"/>
      <c r="H129" s="796"/>
      <c r="I129" s="796"/>
      <c r="J129" s="1108"/>
      <c r="K129" s="1108">
        <f t="shared" si="28"/>
        <v>0</v>
      </c>
      <c r="L129" s="1108">
        <f t="shared" si="29"/>
        <v>0</v>
      </c>
      <c r="M129" s="561"/>
    </row>
    <row r="130" spans="1:13" ht="18.95" hidden="1" customHeight="1">
      <c r="A130" s="497" t="s">
        <v>276</v>
      </c>
      <c r="B130" s="498" t="s">
        <v>718</v>
      </c>
      <c r="C130" s="796"/>
      <c r="D130" s="503"/>
      <c r="E130" s="503"/>
      <c r="F130" s="503"/>
      <c r="G130" s="503"/>
      <c r="H130" s="796"/>
      <c r="I130" s="796"/>
      <c r="J130" s="1108"/>
      <c r="K130" s="1108">
        <f t="shared" si="28"/>
        <v>0</v>
      </c>
      <c r="L130" s="1108">
        <f t="shared" si="29"/>
        <v>0</v>
      </c>
      <c r="M130" s="561"/>
    </row>
    <row r="131" spans="1:13" ht="18.95" hidden="1" customHeight="1">
      <c r="A131" s="497" t="s">
        <v>277</v>
      </c>
      <c r="B131" s="498" t="s">
        <v>717</v>
      </c>
      <c r="C131" s="796"/>
      <c r="D131" s="503"/>
      <c r="E131" s="503"/>
      <c r="F131" s="503"/>
      <c r="G131" s="503"/>
      <c r="H131" s="796"/>
      <c r="I131" s="796"/>
      <c r="J131" s="1108"/>
      <c r="K131" s="1108">
        <f t="shared" si="28"/>
        <v>0</v>
      </c>
      <c r="L131" s="1108">
        <f t="shared" si="29"/>
        <v>0</v>
      </c>
      <c r="M131" s="561"/>
    </row>
    <row r="132" spans="1:13" ht="18.95" hidden="1" customHeight="1">
      <c r="A132" s="497" t="s">
        <v>278</v>
      </c>
      <c r="B132" s="498" t="s">
        <v>279</v>
      </c>
      <c r="C132" s="796"/>
      <c r="D132" s="503"/>
      <c r="E132" s="503"/>
      <c r="F132" s="503"/>
      <c r="G132" s="503"/>
      <c r="H132" s="796"/>
      <c r="I132" s="796"/>
      <c r="J132" s="1108"/>
      <c r="K132" s="1108">
        <f t="shared" si="28"/>
        <v>0</v>
      </c>
      <c r="L132" s="1108">
        <f t="shared" si="29"/>
        <v>0</v>
      </c>
      <c r="M132" s="561"/>
    </row>
    <row r="133" spans="1:13" ht="18.95" hidden="1" customHeight="1">
      <c r="A133" s="521" t="s">
        <v>713</v>
      </c>
      <c r="B133" s="522" t="s">
        <v>843</v>
      </c>
      <c r="C133" s="1058"/>
      <c r="D133" s="516"/>
      <c r="E133" s="516">
        <f t="shared" ref="E133:F133" si="45">SUM(E134:E135)</f>
        <v>0</v>
      </c>
      <c r="F133" s="516">
        <f t="shared" si="45"/>
        <v>0</v>
      </c>
      <c r="G133" s="516"/>
      <c r="H133" s="1058"/>
      <c r="I133" s="1058">
        <f>G133</f>
        <v>0</v>
      </c>
      <c r="J133" s="1108"/>
      <c r="K133" s="1108">
        <f t="shared" si="28"/>
        <v>0</v>
      </c>
      <c r="L133" s="1108">
        <f t="shared" si="29"/>
        <v>0</v>
      </c>
      <c r="M133" s="561"/>
    </row>
    <row r="134" spans="1:13" ht="18.95" hidden="1" customHeight="1">
      <c r="A134" s="497" t="s">
        <v>280</v>
      </c>
      <c r="B134" s="498" t="s">
        <v>715</v>
      </c>
      <c r="C134" s="796"/>
      <c r="D134" s="503"/>
      <c r="E134" s="503"/>
      <c r="F134" s="503"/>
      <c r="G134" s="503"/>
      <c r="H134" s="796"/>
      <c r="I134" s="796"/>
      <c r="J134" s="1108"/>
      <c r="K134" s="1108">
        <f t="shared" si="28"/>
        <v>0</v>
      </c>
      <c r="L134" s="1108">
        <f t="shared" si="29"/>
        <v>0</v>
      </c>
      <c r="M134" s="561"/>
    </row>
    <row r="135" spans="1:13" ht="18.95" hidden="1" customHeight="1">
      <c r="A135" s="497" t="s">
        <v>714</v>
      </c>
      <c r="B135" s="498" t="s">
        <v>16</v>
      </c>
      <c r="C135" s="796"/>
      <c r="D135" s="503"/>
      <c r="E135" s="503"/>
      <c r="F135" s="503"/>
      <c r="G135" s="503"/>
      <c r="H135" s="796"/>
      <c r="I135" s="796"/>
      <c r="J135" s="1108"/>
      <c r="K135" s="1108">
        <f t="shared" si="28"/>
        <v>0</v>
      </c>
      <c r="L135" s="1108">
        <f t="shared" si="29"/>
        <v>0</v>
      </c>
      <c r="M135" s="561"/>
    </row>
    <row r="136" spans="1:13" ht="18.95" customHeight="1">
      <c r="A136" s="1180" t="s">
        <v>709</v>
      </c>
      <c r="B136" s="1181" t="s">
        <v>838</v>
      </c>
      <c r="C136" s="1182">
        <f>SUM(C137:C138)</f>
        <v>7.6999999999999999E-2</v>
      </c>
      <c r="D136" s="1182">
        <f t="shared" ref="D136" si="46">SUM(D137:D138)</f>
        <v>0.121</v>
      </c>
      <c r="E136" s="1182">
        <f t="shared" ref="E136:G136" si="47">SUM(E137:E138)</f>
        <v>1.2E-2</v>
      </c>
      <c r="F136" s="1182">
        <f t="shared" si="47"/>
        <v>0.109</v>
      </c>
      <c r="G136" s="1182">
        <f t="shared" si="47"/>
        <v>0.121</v>
      </c>
      <c r="H136" s="1182">
        <f>SUM(H137:H138)</f>
        <v>0</v>
      </c>
      <c r="I136" s="1183">
        <f>SUM(I137:I138)</f>
        <v>0.1331</v>
      </c>
      <c r="J136" s="1184">
        <f>SUM(J137:J138)</f>
        <v>0.1331</v>
      </c>
      <c r="K136" s="1184">
        <f t="shared" ref="K136:L136" si="48">SUM(K137:K138)</f>
        <v>6.6549999999999998E-2</v>
      </c>
      <c r="L136" s="1184">
        <f t="shared" si="48"/>
        <v>6.6549999999999998E-2</v>
      </c>
      <c r="M136" s="561"/>
    </row>
    <row r="137" spans="1:13" ht="18.95" customHeight="1">
      <c r="A137" s="1037" t="s">
        <v>160</v>
      </c>
      <c r="B137" s="1037" t="s">
        <v>712</v>
      </c>
      <c r="C137" s="554">
        <v>7.6999999999999999E-2</v>
      </c>
      <c r="D137" s="554">
        <v>0.121</v>
      </c>
      <c r="E137" s="554">
        <v>1.2E-2</v>
      </c>
      <c r="F137" s="554">
        <f t="shared" ref="F137:F138" si="49">+D137-E137</f>
        <v>0.109</v>
      </c>
      <c r="G137" s="554">
        <f t="shared" ref="G137:G138" si="50">+E137+F137</f>
        <v>0.121</v>
      </c>
      <c r="H137" s="554"/>
      <c r="I137" s="554">
        <f>G137*1.1</f>
        <v>0.1331</v>
      </c>
      <c r="J137" s="1108">
        <f>+I137</f>
        <v>0.1331</v>
      </c>
      <c r="K137" s="1108">
        <f t="shared" si="28"/>
        <v>6.6549999999999998E-2</v>
      </c>
      <c r="L137" s="1108">
        <f t="shared" si="29"/>
        <v>6.6549999999999998E-2</v>
      </c>
      <c r="M137" s="561"/>
    </row>
    <row r="138" spans="1:13" ht="18.95" customHeight="1">
      <c r="A138" s="1037" t="s">
        <v>711</v>
      </c>
      <c r="B138" s="1037" t="s">
        <v>710</v>
      </c>
      <c r="C138" s="554"/>
      <c r="D138" s="554"/>
      <c r="E138" s="554"/>
      <c r="F138" s="554">
        <f t="shared" si="49"/>
        <v>0</v>
      </c>
      <c r="G138" s="554">
        <f t="shared" si="50"/>
        <v>0</v>
      </c>
      <c r="H138" s="554"/>
      <c r="I138" s="554"/>
      <c r="J138" s="1108"/>
      <c r="K138" s="1108">
        <f t="shared" si="28"/>
        <v>0</v>
      </c>
      <c r="L138" s="1108">
        <f t="shared" si="29"/>
        <v>0</v>
      </c>
      <c r="M138" s="561"/>
    </row>
    <row r="139" spans="1:13" ht="18.95" hidden="1" customHeight="1">
      <c r="A139" s="1167" t="s">
        <v>695</v>
      </c>
      <c r="B139" s="1168" t="s">
        <v>842</v>
      </c>
      <c r="C139" s="1170"/>
      <c r="D139" s="1169"/>
      <c r="E139" s="1169"/>
      <c r="F139" s="1169"/>
      <c r="G139" s="1169"/>
      <c r="H139" s="1170"/>
      <c r="I139" s="1170">
        <f>G139</f>
        <v>0</v>
      </c>
      <c r="J139" s="1119"/>
      <c r="K139" s="1108">
        <f t="shared" si="28"/>
        <v>0</v>
      </c>
      <c r="L139" s="1108">
        <f t="shared" si="29"/>
        <v>0</v>
      </c>
      <c r="M139" s="561"/>
    </row>
    <row r="140" spans="1:13" ht="18.95" hidden="1" customHeight="1">
      <c r="A140" s="497" t="s">
        <v>708</v>
      </c>
      <c r="B140" s="498" t="s">
        <v>707</v>
      </c>
      <c r="C140" s="796"/>
      <c r="D140" s="503"/>
      <c r="E140" s="503"/>
      <c r="F140" s="503"/>
      <c r="G140" s="503"/>
      <c r="H140" s="796"/>
      <c r="I140" s="796"/>
      <c r="J140" s="1108"/>
      <c r="K140" s="1108">
        <f t="shared" si="28"/>
        <v>0</v>
      </c>
      <c r="L140" s="1108">
        <f t="shared" si="29"/>
        <v>0</v>
      </c>
      <c r="M140" s="561"/>
    </row>
    <row r="141" spans="1:13" ht="18.95" hidden="1" customHeight="1">
      <c r="A141" s="497" t="s">
        <v>706</v>
      </c>
      <c r="B141" s="498" t="s">
        <v>705</v>
      </c>
      <c r="C141" s="796"/>
      <c r="D141" s="503"/>
      <c r="E141" s="503"/>
      <c r="F141" s="503"/>
      <c r="G141" s="503"/>
      <c r="H141" s="796"/>
      <c r="I141" s="796"/>
      <c r="J141" s="1108"/>
      <c r="K141" s="1108">
        <f t="shared" si="28"/>
        <v>0</v>
      </c>
      <c r="L141" s="1108">
        <f t="shared" si="29"/>
        <v>0</v>
      </c>
      <c r="M141" s="561"/>
    </row>
    <row r="142" spans="1:13" ht="18.95" hidden="1" customHeight="1">
      <c r="A142" s="497" t="s">
        <v>704</v>
      </c>
      <c r="B142" s="498" t="s">
        <v>703</v>
      </c>
      <c r="C142" s="796"/>
      <c r="D142" s="503"/>
      <c r="E142" s="503"/>
      <c r="F142" s="503"/>
      <c r="G142" s="503"/>
      <c r="H142" s="796"/>
      <c r="I142" s="796"/>
      <c r="J142" s="1108"/>
      <c r="K142" s="1108">
        <f t="shared" si="28"/>
        <v>0</v>
      </c>
      <c r="L142" s="1108">
        <f t="shared" si="29"/>
        <v>0</v>
      </c>
      <c r="M142" s="561"/>
    </row>
    <row r="143" spans="1:13" ht="18.95" hidden="1" customHeight="1">
      <c r="A143" s="497" t="s">
        <v>702</v>
      </c>
      <c r="B143" s="498" t="s">
        <v>701</v>
      </c>
      <c r="C143" s="796"/>
      <c r="D143" s="503"/>
      <c r="E143" s="503"/>
      <c r="F143" s="503"/>
      <c r="G143" s="503"/>
      <c r="H143" s="796"/>
      <c r="I143" s="796"/>
      <c r="J143" s="1108"/>
      <c r="K143" s="1108">
        <f t="shared" ref="K143:K163" si="51">+J143/2</f>
        <v>0</v>
      </c>
      <c r="L143" s="1108">
        <f t="shared" ref="L143:L163" si="52">+J143/2</f>
        <v>0</v>
      </c>
      <c r="M143" s="561"/>
    </row>
    <row r="144" spans="1:13" ht="18.95" hidden="1" customHeight="1">
      <c r="A144" s="497" t="s">
        <v>700</v>
      </c>
      <c r="B144" s="498" t="s">
        <v>699</v>
      </c>
      <c r="C144" s="796"/>
      <c r="D144" s="503"/>
      <c r="E144" s="503"/>
      <c r="F144" s="503"/>
      <c r="G144" s="503"/>
      <c r="H144" s="796"/>
      <c r="I144" s="796"/>
      <c r="J144" s="1108"/>
      <c r="K144" s="1108">
        <f t="shared" si="51"/>
        <v>0</v>
      </c>
      <c r="L144" s="1108">
        <f t="shared" si="52"/>
        <v>0</v>
      </c>
      <c r="M144" s="561"/>
    </row>
    <row r="145" spans="1:13" ht="18.95" hidden="1" customHeight="1">
      <c r="A145" s="497" t="s">
        <v>698</v>
      </c>
      <c r="B145" s="498" t="s">
        <v>697</v>
      </c>
      <c r="C145" s="796"/>
      <c r="D145" s="503"/>
      <c r="E145" s="503"/>
      <c r="F145" s="503"/>
      <c r="G145" s="503"/>
      <c r="H145" s="796"/>
      <c r="I145" s="796"/>
      <c r="J145" s="1108"/>
      <c r="K145" s="1108">
        <f t="shared" si="51"/>
        <v>0</v>
      </c>
      <c r="L145" s="1108">
        <f t="shared" si="52"/>
        <v>0</v>
      </c>
      <c r="M145" s="561"/>
    </row>
    <row r="146" spans="1:13" ht="18.95" hidden="1" customHeight="1">
      <c r="A146" s="497" t="s">
        <v>696</v>
      </c>
      <c r="B146" s="498" t="s">
        <v>16</v>
      </c>
      <c r="C146" s="796"/>
      <c r="D146" s="503"/>
      <c r="E146" s="503"/>
      <c r="F146" s="503"/>
      <c r="G146" s="503"/>
      <c r="H146" s="796"/>
      <c r="I146" s="796"/>
      <c r="J146" s="1108"/>
      <c r="K146" s="1108">
        <f t="shared" si="51"/>
        <v>0</v>
      </c>
      <c r="L146" s="1108">
        <f t="shared" si="52"/>
        <v>0</v>
      </c>
      <c r="M146" s="561"/>
    </row>
    <row r="147" spans="1:13" ht="18.95" hidden="1" customHeight="1">
      <c r="A147" s="521" t="s">
        <v>282</v>
      </c>
      <c r="B147" s="522" t="s">
        <v>841</v>
      </c>
      <c r="C147" s="1058"/>
      <c r="D147" s="516"/>
      <c r="E147" s="516">
        <f t="shared" ref="E147:F147" si="53">SUM(E148:E151)</f>
        <v>0</v>
      </c>
      <c r="F147" s="516">
        <f t="shared" si="53"/>
        <v>0</v>
      </c>
      <c r="G147" s="516"/>
      <c r="H147" s="1058"/>
      <c r="I147" s="1058">
        <f>G147</f>
        <v>0</v>
      </c>
      <c r="J147" s="1108"/>
      <c r="K147" s="1108">
        <f t="shared" si="51"/>
        <v>0</v>
      </c>
      <c r="L147" s="1108">
        <f t="shared" si="52"/>
        <v>0</v>
      </c>
      <c r="M147" s="561"/>
    </row>
    <row r="148" spans="1:13" ht="18.95" hidden="1" customHeight="1">
      <c r="A148" s="497" t="s">
        <v>283</v>
      </c>
      <c r="B148" s="498" t="s">
        <v>694</v>
      </c>
      <c r="C148" s="796"/>
      <c r="D148" s="503"/>
      <c r="E148" s="503"/>
      <c r="F148" s="503"/>
      <c r="G148" s="503"/>
      <c r="H148" s="796"/>
      <c r="I148" s="796"/>
      <c r="J148" s="1108"/>
      <c r="K148" s="1108">
        <f t="shared" si="51"/>
        <v>0</v>
      </c>
      <c r="L148" s="1108">
        <f t="shared" si="52"/>
        <v>0</v>
      </c>
      <c r="M148" s="561"/>
    </row>
    <row r="149" spans="1:13" ht="18.95" hidden="1" customHeight="1">
      <c r="A149" s="497" t="s">
        <v>284</v>
      </c>
      <c r="B149" s="498" t="s">
        <v>693</v>
      </c>
      <c r="C149" s="796"/>
      <c r="D149" s="503"/>
      <c r="E149" s="503"/>
      <c r="F149" s="503"/>
      <c r="G149" s="503"/>
      <c r="H149" s="796"/>
      <c r="I149" s="796"/>
      <c r="J149" s="1108"/>
      <c r="K149" s="1108">
        <f t="shared" si="51"/>
        <v>0</v>
      </c>
      <c r="L149" s="1108">
        <f t="shared" si="52"/>
        <v>0</v>
      </c>
      <c r="M149" s="561"/>
    </row>
    <row r="150" spans="1:13" ht="18.95" hidden="1" customHeight="1">
      <c r="A150" s="497" t="s">
        <v>285</v>
      </c>
      <c r="B150" s="498" t="s">
        <v>692</v>
      </c>
      <c r="C150" s="796"/>
      <c r="D150" s="503"/>
      <c r="E150" s="503"/>
      <c r="F150" s="503"/>
      <c r="G150" s="503"/>
      <c r="H150" s="796"/>
      <c r="I150" s="796"/>
      <c r="J150" s="1108"/>
      <c r="K150" s="1108">
        <f t="shared" si="51"/>
        <v>0</v>
      </c>
      <c r="L150" s="1108">
        <f t="shared" si="52"/>
        <v>0</v>
      </c>
      <c r="M150" s="561"/>
    </row>
    <row r="151" spans="1:13" ht="18.95" hidden="1" customHeight="1">
      <c r="A151" s="497" t="s">
        <v>286</v>
      </c>
      <c r="B151" s="498" t="s">
        <v>691</v>
      </c>
      <c r="C151" s="796"/>
      <c r="D151" s="503"/>
      <c r="E151" s="503"/>
      <c r="F151" s="503"/>
      <c r="G151" s="503"/>
      <c r="H151" s="796"/>
      <c r="I151" s="796"/>
      <c r="J151" s="1108"/>
      <c r="K151" s="1108">
        <f t="shared" si="51"/>
        <v>0</v>
      </c>
      <c r="L151" s="1108">
        <f t="shared" si="52"/>
        <v>0</v>
      </c>
      <c r="M151" s="561"/>
    </row>
    <row r="152" spans="1:13" ht="18.95" hidden="1" customHeight="1">
      <c r="A152" s="521" t="s">
        <v>685</v>
      </c>
      <c r="B152" s="522" t="s">
        <v>839</v>
      </c>
      <c r="C152" s="1064"/>
      <c r="D152" s="517"/>
      <c r="E152" s="517">
        <f t="shared" ref="E152:F152" si="54">SUM(E153:E160)</f>
        <v>0</v>
      </c>
      <c r="F152" s="517">
        <f t="shared" si="54"/>
        <v>0</v>
      </c>
      <c r="G152" s="517"/>
      <c r="H152" s="1064"/>
      <c r="I152" s="1064">
        <f>G152</f>
        <v>0</v>
      </c>
      <c r="J152" s="1108"/>
      <c r="K152" s="1108">
        <f t="shared" si="51"/>
        <v>0</v>
      </c>
      <c r="L152" s="1108">
        <f t="shared" si="52"/>
        <v>0</v>
      </c>
      <c r="M152" s="561"/>
    </row>
    <row r="153" spans="1:13" ht="18.95" hidden="1" customHeight="1">
      <c r="A153" s="497" t="s">
        <v>163</v>
      </c>
      <c r="B153" s="498" t="s">
        <v>164</v>
      </c>
      <c r="C153" s="796"/>
      <c r="D153" s="503"/>
      <c r="E153" s="503"/>
      <c r="F153" s="503"/>
      <c r="G153" s="503"/>
      <c r="H153" s="796"/>
      <c r="I153" s="796"/>
      <c r="J153" s="1108"/>
      <c r="K153" s="1108">
        <f t="shared" si="51"/>
        <v>0</v>
      </c>
      <c r="L153" s="1108">
        <f t="shared" si="52"/>
        <v>0</v>
      </c>
      <c r="M153" s="561"/>
    </row>
    <row r="154" spans="1:13" ht="18.95" hidden="1" customHeight="1">
      <c r="A154" s="497" t="s">
        <v>165</v>
      </c>
      <c r="B154" s="498" t="s">
        <v>166</v>
      </c>
      <c r="C154" s="796"/>
      <c r="D154" s="503"/>
      <c r="E154" s="503"/>
      <c r="F154" s="503"/>
      <c r="G154" s="503"/>
      <c r="H154" s="796"/>
      <c r="I154" s="796"/>
      <c r="J154" s="1108"/>
      <c r="K154" s="1108">
        <f t="shared" si="51"/>
        <v>0</v>
      </c>
      <c r="L154" s="1108">
        <f t="shared" si="52"/>
        <v>0</v>
      </c>
      <c r="M154" s="561"/>
    </row>
    <row r="155" spans="1:13" ht="18.95" hidden="1" customHeight="1">
      <c r="A155" s="497" t="s">
        <v>167</v>
      </c>
      <c r="B155" s="498" t="s">
        <v>690</v>
      </c>
      <c r="C155" s="796"/>
      <c r="D155" s="503"/>
      <c r="E155" s="503"/>
      <c r="F155" s="503"/>
      <c r="G155" s="503"/>
      <c r="H155" s="796"/>
      <c r="I155" s="796"/>
      <c r="J155" s="1108"/>
      <c r="K155" s="1108">
        <f t="shared" si="51"/>
        <v>0</v>
      </c>
      <c r="L155" s="1108">
        <f t="shared" si="52"/>
        <v>0</v>
      </c>
      <c r="M155" s="561"/>
    </row>
    <row r="156" spans="1:13" ht="18.95" hidden="1" customHeight="1">
      <c r="A156" s="497" t="s">
        <v>168</v>
      </c>
      <c r="B156" s="498" t="s">
        <v>689</v>
      </c>
      <c r="C156" s="796"/>
      <c r="D156" s="503"/>
      <c r="E156" s="503"/>
      <c r="F156" s="503"/>
      <c r="G156" s="503"/>
      <c r="H156" s="796"/>
      <c r="I156" s="796"/>
      <c r="J156" s="1108"/>
      <c r="K156" s="1108">
        <f t="shared" si="51"/>
        <v>0</v>
      </c>
      <c r="L156" s="1108">
        <f t="shared" si="52"/>
        <v>0</v>
      </c>
      <c r="M156" s="561"/>
    </row>
    <row r="157" spans="1:13" ht="18.95" hidden="1" customHeight="1">
      <c r="A157" s="497" t="s">
        <v>169</v>
      </c>
      <c r="B157" s="498" t="s">
        <v>688</v>
      </c>
      <c r="C157" s="796"/>
      <c r="D157" s="503"/>
      <c r="E157" s="503"/>
      <c r="F157" s="503"/>
      <c r="G157" s="503"/>
      <c r="H157" s="796"/>
      <c r="I157" s="796"/>
      <c r="J157" s="1108"/>
      <c r="K157" s="1108">
        <f t="shared" si="51"/>
        <v>0</v>
      </c>
      <c r="L157" s="1108">
        <f t="shared" si="52"/>
        <v>0</v>
      </c>
      <c r="M157" s="561"/>
    </row>
    <row r="158" spans="1:13" ht="18.95" hidden="1" customHeight="1">
      <c r="A158" s="497" t="s">
        <v>170</v>
      </c>
      <c r="B158" s="498" t="s">
        <v>687</v>
      </c>
      <c r="C158" s="796"/>
      <c r="D158" s="503"/>
      <c r="E158" s="503"/>
      <c r="F158" s="503"/>
      <c r="G158" s="503"/>
      <c r="H158" s="796"/>
      <c r="I158" s="796"/>
      <c r="J158" s="1108"/>
      <c r="K158" s="1108">
        <f t="shared" si="51"/>
        <v>0</v>
      </c>
      <c r="L158" s="1108">
        <f t="shared" si="52"/>
        <v>0</v>
      </c>
      <c r="M158" s="561"/>
    </row>
    <row r="159" spans="1:13" ht="18.95" hidden="1" customHeight="1">
      <c r="A159" s="497" t="s">
        <v>171</v>
      </c>
      <c r="B159" s="498" t="s">
        <v>686</v>
      </c>
      <c r="C159" s="796"/>
      <c r="D159" s="503"/>
      <c r="E159" s="503"/>
      <c r="F159" s="503"/>
      <c r="G159" s="503"/>
      <c r="H159" s="796"/>
      <c r="I159" s="796"/>
      <c r="J159" s="1108"/>
      <c r="K159" s="1108">
        <f t="shared" si="51"/>
        <v>0</v>
      </c>
      <c r="L159" s="1108">
        <f t="shared" si="52"/>
        <v>0</v>
      </c>
      <c r="M159" s="561"/>
    </row>
    <row r="160" spans="1:13" ht="18.95" hidden="1" customHeight="1">
      <c r="A160" s="497" t="s">
        <v>172</v>
      </c>
      <c r="B160" s="498" t="s">
        <v>16</v>
      </c>
      <c r="C160" s="796"/>
      <c r="D160" s="503"/>
      <c r="E160" s="503"/>
      <c r="F160" s="503"/>
      <c r="G160" s="503"/>
      <c r="H160" s="796"/>
      <c r="I160" s="796"/>
      <c r="J160" s="1108"/>
      <c r="K160" s="1108">
        <f t="shared" si="51"/>
        <v>0</v>
      </c>
      <c r="L160" s="1108">
        <f t="shared" si="52"/>
        <v>0</v>
      </c>
      <c r="M160" s="561"/>
    </row>
    <row r="161" spans="1:13" ht="18.95" hidden="1" customHeight="1">
      <c r="A161" s="521" t="s">
        <v>173</v>
      </c>
      <c r="B161" s="522" t="s">
        <v>840</v>
      </c>
      <c r="C161" s="1058"/>
      <c r="D161" s="516"/>
      <c r="E161" s="516">
        <f t="shared" ref="E161:F161" si="55">SUM(E162:E163)</f>
        <v>0</v>
      </c>
      <c r="F161" s="516">
        <f t="shared" si="55"/>
        <v>0</v>
      </c>
      <c r="G161" s="516"/>
      <c r="H161" s="1058"/>
      <c r="I161" s="1058">
        <f>G161</f>
        <v>0</v>
      </c>
      <c r="J161" s="1108"/>
      <c r="K161" s="1108">
        <f t="shared" si="51"/>
        <v>0</v>
      </c>
      <c r="L161" s="1108">
        <f t="shared" si="52"/>
        <v>0</v>
      </c>
      <c r="M161" s="561"/>
    </row>
    <row r="162" spans="1:13" ht="18.95" hidden="1" customHeight="1">
      <c r="A162" s="497" t="s">
        <v>174</v>
      </c>
      <c r="B162" s="498" t="s">
        <v>684</v>
      </c>
      <c r="C162" s="796"/>
      <c r="D162" s="503"/>
      <c r="E162" s="503"/>
      <c r="F162" s="503"/>
      <c r="G162" s="503"/>
      <c r="H162" s="796"/>
      <c r="I162" s="796"/>
      <c r="J162" s="1108"/>
      <c r="K162" s="1108">
        <f t="shared" si="51"/>
        <v>0</v>
      </c>
      <c r="L162" s="1108">
        <f t="shared" si="52"/>
        <v>0</v>
      </c>
      <c r="M162" s="561"/>
    </row>
    <row r="163" spans="1:13" ht="18.95" hidden="1" customHeight="1">
      <c r="A163" s="497" t="s">
        <v>175</v>
      </c>
      <c r="B163" s="498" t="s">
        <v>683</v>
      </c>
      <c r="C163" s="796"/>
      <c r="D163" s="503"/>
      <c r="E163" s="503"/>
      <c r="F163" s="503"/>
      <c r="G163" s="503"/>
      <c r="H163" s="796"/>
      <c r="I163" s="796"/>
      <c r="J163" s="1108"/>
      <c r="K163" s="1108">
        <f t="shared" si="51"/>
        <v>0</v>
      </c>
      <c r="L163" s="1108">
        <f t="shared" si="52"/>
        <v>0</v>
      </c>
      <c r="M163" s="561"/>
    </row>
    <row r="164" spans="1:13" ht="18.95" customHeight="1">
      <c r="A164" s="400"/>
      <c r="B164" s="401" t="s">
        <v>993</v>
      </c>
      <c r="C164" s="530">
        <f>SUM(C161,C152,C147,C139,C136,C133,C125,C122,C119,C106,C96,C94)</f>
        <v>22.413</v>
      </c>
      <c r="D164" s="530">
        <f t="shared" ref="D164" si="56">SUM(D161,D152,D147,D139,D136,D133,D125,D122,D119,D106,D96,D94)</f>
        <v>38.010804000000007</v>
      </c>
      <c r="E164" s="530">
        <f t="shared" ref="E164:G164" si="57">SUM(E161,E152,E147,E139,E136,E133,E125,E122,E119,E106,E96,E94)</f>
        <v>24.917999999999999</v>
      </c>
      <c r="F164" s="530">
        <f t="shared" si="57"/>
        <v>12.723803999999999</v>
      </c>
      <c r="G164" s="530">
        <f t="shared" si="57"/>
        <v>37.641803999999993</v>
      </c>
      <c r="H164" s="530">
        <f>SUM(H161,H152,H147,H139,H136,H133,H125,H122,H119,H106,H96,H94)</f>
        <v>0</v>
      </c>
      <c r="I164" s="1103">
        <f>SUM(I161,I152,I147,I139,I136,I133,I125,I122,I119,I106,I96,I94)</f>
        <v>23.779809999999998</v>
      </c>
      <c r="J164" s="1104">
        <f>SUM(J161,J152,J147,J139,J136,J133,J125,J122,J119,J106,J96,J94)</f>
        <v>43.255904000000001</v>
      </c>
      <c r="K164" s="1104">
        <f t="shared" ref="K164:L164" si="58">SUM(K161,K152,K147,K139,K136,K133,K125,K122,K119,K106,K96,K94)</f>
        <v>21.627952000000001</v>
      </c>
      <c r="L164" s="1104">
        <f t="shared" si="58"/>
        <v>21.627952000000001</v>
      </c>
      <c r="M164" s="561"/>
    </row>
    <row r="165" spans="1:13" ht="18.95" customHeight="1">
      <c r="A165" s="495"/>
      <c r="B165" s="495"/>
      <c r="C165" s="495"/>
      <c r="D165" s="495"/>
      <c r="E165" s="495"/>
      <c r="F165" s="495"/>
      <c r="G165" s="495"/>
      <c r="H165" s="495"/>
      <c r="I165" s="495"/>
      <c r="J165" s="561"/>
      <c r="M165" s="561"/>
    </row>
    <row r="166" spans="1:13" ht="18.95" customHeight="1">
      <c r="A166" s="495"/>
      <c r="B166" s="495"/>
      <c r="C166" s="495"/>
      <c r="D166" s="553"/>
      <c r="E166" s="553"/>
      <c r="F166" s="553"/>
      <c r="G166" s="553"/>
      <c r="H166" s="553"/>
      <c r="I166" s="553"/>
      <c r="J166" s="553"/>
    </row>
    <row r="167" spans="1:13" ht="18.95" customHeight="1">
      <c r="A167" s="495"/>
      <c r="B167" s="495"/>
      <c r="C167" s="495"/>
      <c r="D167" s="1134"/>
      <c r="E167" s="1134"/>
      <c r="F167" s="1134"/>
      <c r="G167" s="1134"/>
      <c r="H167" s="1134"/>
      <c r="I167" s="1134"/>
      <c r="J167" s="1134"/>
    </row>
    <row r="168" spans="1:13" ht="18.95" customHeight="1">
      <c r="A168" s="495"/>
      <c r="B168" s="495"/>
      <c r="C168" s="495"/>
      <c r="D168" s="495"/>
      <c r="E168" s="495"/>
      <c r="F168" s="495"/>
      <c r="G168" s="495"/>
      <c r="H168" s="495"/>
      <c r="I168" s="495"/>
    </row>
    <row r="169" spans="1:13" ht="18.95" customHeight="1">
      <c r="A169" s="495"/>
      <c r="B169" s="495"/>
      <c r="C169" s="495"/>
      <c r="D169" s="495"/>
      <c r="E169" s="495"/>
      <c r="F169" s="495"/>
      <c r="G169" s="495"/>
      <c r="H169" s="495"/>
      <c r="I169" s="495"/>
    </row>
    <row r="170" spans="1:13" ht="18.95" customHeight="1">
      <c r="A170" s="158"/>
      <c r="B170" s="158"/>
      <c r="C170" s="158"/>
      <c r="D170" s="158"/>
      <c r="E170" s="158"/>
      <c r="F170" s="158"/>
      <c r="G170" s="1279"/>
      <c r="H170" s="1279"/>
      <c r="I170" s="1279"/>
    </row>
  </sheetData>
  <mergeCells count="14">
    <mergeCell ref="A8:I8"/>
    <mergeCell ref="A95:I95"/>
    <mergeCell ref="G170:I170"/>
    <mergeCell ref="A4:I4"/>
    <mergeCell ref="A6:A7"/>
    <mergeCell ref="B6:B7"/>
    <mergeCell ref="C6:C7"/>
    <mergeCell ref="I6:I7"/>
    <mergeCell ref="D6:H6"/>
    <mergeCell ref="K6:K7"/>
    <mergeCell ref="L6:L7"/>
    <mergeCell ref="A2:L2"/>
    <mergeCell ref="A3:L3"/>
    <mergeCell ref="J6:J7"/>
  </mergeCells>
  <pageMargins left="0.7" right="0.7" top="0.75" bottom="0.75" header="0.3" footer="0.3"/>
  <pageSetup scale="65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00"/>
  </sheetPr>
  <dimension ref="A1:K53"/>
  <sheetViews>
    <sheetView view="pageBreakPreview" topLeftCell="A4" zoomScale="82" zoomScaleSheetLayoutView="82" workbookViewId="0">
      <pane xSplit="3" ySplit="10" topLeftCell="D14" activePane="bottomRight" state="frozen"/>
      <selection activeCell="A4" sqref="A4"/>
      <selection pane="topRight" activeCell="D4" sqref="D4"/>
      <selection pane="bottomLeft" activeCell="A14" sqref="A14"/>
      <selection pane="bottomRight" activeCell="F26" sqref="F26"/>
    </sheetView>
  </sheetViews>
  <sheetFormatPr defaultRowHeight="15.75"/>
  <cols>
    <col min="1" max="1" width="11.140625" style="430" customWidth="1"/>
    <col min="2" max="2" width="5.5703125" style="435" customWidth="1"/>
    <col min="3" max="3" width="34.28515625" style="430" customWidth="1"/>
    <col min="4" max="4" width="25" style="430" bestFit="1" customWidth="1"/>
    <col min="5" max="5" width="22.85546875" style="430" customWidth="1"/>
    <col min="6" max="6" width="12.42578125" style="430" customWidth="1"/>
    <col min="7" max="7" width="11.85546875" style="430" customWidth="1"/>
    <col min="8" max="8" width="12" style="430" customWidth="1"/>
    <col min="9" max="9" width="21.140625" style="430" customWidth="1"/>
    <col min="10" max="10" width="15.7109375" style="430" customWidth="1"/>
    <col min="11" max="11" width="6.7109375" style="430" bestFit="1" customWidth="1"/>
    <col min="12" max="16384" width="9.140625" style="430"/>
  </cols>
  <sheetData>
    <row r="1" spans="1:11" ht="18">
      <c r="J1" s="1337" t="s">
        <v>1039</v>
      </c>
      <c r="K1" s="1338"/>
    </row>
    <row r="2" spans="1:11" ht="35.1" customHeight="1">
      <c r="A2" s="1363" t="s">
        <v>1087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</row>
    <row r="3" spans="1:11" ht="12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s="431" customFormat="1" ht="15.75" customHeight="1">
      <c r="A4" s="1341" t="s">
        <v>1356</v>
      </c>
      <c r="B4" s="1341"/>
      <c r="C4" s="1341"/>
      <c r="D4" s="1341"/>
      <c r="E4" s="1341"/>
      <c r="F4" s="1341"/>
      <c r="G4" s="1341"/>
      <c r="H4" s="1341"/>
    </row>
    <row r="5" spans="1:11" s="431" customFormat="1" ht="20.100000000000001" customHeight="1">
      <c r="A5" s="1341"/>
      <c r="B5" s="1341"/>
      <c r="C5" s="1341"/>
      <c r="D5" s="1341"/>
      <c r="E5" s="1341"/>
      <c r="F5" s="1341"/>
      <c r="G5" s="1341"/>
      <c r="H5" s="1341"/>
      <c r="I5" s="1344" t="s">
        <v>1055</v>
      </c>
      <c r="J5" s="1345"/>
      <c r="K5" s="441">
        <v>68</v>
      </c>
    </row>
    <row r="6" spans="1:11" s="431" customFormat="1" ht="20.100000000000001" customHeight="1">
      <c r="A6" s="1371" t="s">
        <v>1070</v>
      </c>
      <c r="B6" s="1371"/>
      <c r="C6" s="1371"/>
      <c r="D6" s="444" t="s">
        <v>1086</v>
      </c>
      <c r="E6" s="444" t="s">
        <v>1044</v>
      </c>
      <c r="F6" s="444" t="s">
        <v>1034</v>
      </c>
      <c r="G6" s="444" t="s">
        <v>1085</v>
      </c>
      <c r="H6" s="444" t="s">
        <v>138</v>
      </c>
      <c r="I6" s="1344" t="s">
        <v>1054</v>
      </c>
      <c r="J6" s="1345"/>
      <c r="K6" s="441">
        <v>47</v>
      </c>
    </row>
    <row r="7" spans="1:11" s="431" customFormat="1" ht="15" customHeight="1">
      <c r="A7" s="1370" t="s">
        <v>1071</v>
      </c>
      <c r="B7" s="1370"/>
      <c r="C7" s="1370"/>
      <c r="D7" s="793">
        <v>1347.3820000000001</v>
      </c>
      <c r="E7" s="445">
        <v>1347.9960000000001</v>
      </c>
      <c r="F7" s="445">
        <v>1514.81</v>
      </c>
      <c r="G7" s="445">
        <v>1812.6310000000001</v>
      </c>
      <c r="H7" s="446">
        <f>SUM(D7:G7)</f>
        <v>6022.8190000000004</v>
      </c>
      <c r="I7" s="1344" t="s">
        <v>1049</v>
      </c>
      <c r="J7" s="1345"/>
      <c r="K7" s="441">
        <v>117</v>
      </c>
    </row>
    <row r="8" spans="1:11" s="431" customFormat="1" ht="15" customHeight="1">
      <c r="A8" s="1370" t="s">
        <v>1072</v>
      </c>
      <c r="B8" s="1370"/>
      <c r="C8" s="1370"/>
      <c r="D8" s="445">
        <v>400</v>
      </c>
      <c r="E8" s="445">
        <v>270.60500000000002</v>
      </c>
      <c r="F8" s="445">
        <v>50</v>
      </c>
      <c r="G8" s="445"/>
      <c r="H8" s="446">
        <f t="shared" ref="H8:H9" si="0">SUM(D8:G8)</f>
        <v>720.60500000000002</v>
      </c>
      <c r="I8" s="1344" t="s">
        <v>1081</v>
      </c>
      <c r="J8" s="1345"/>
      <c r="K8" s="441">
        <f>+'102(a)'!B29</f>
        <v>13499</v>
      </c>
    </row>
    <row r="9" spans="1:11" s="431" customFormat="1" ht="15" customHeight="1">
      <c r="A9" s="1370" t="s">
        <v>1083</v>
      </c>
      <c r="B9" s="1370"/>
      <c r="C9" s="1370"/>
      <c r="D9" s="445">
        <v>1222.1130000000001</v>
      </c>
      <c r="E9" s="445">
        <v>1293.53</v>
      </c>
      <c r="F9" s="445">
        <f>1317.462+150.861</f>
        <v>1468.3229999999999</v>
      </c>
      <c r="G9" s="445">
        <f>1613.736+213.736</f>
        <v>1827.4720000000002</v>
      </c>
      <c r="H9" s="446">
        <f t="shared" si="0"/>
        <v>5811.4380000000001</v>
      </c>
      <c r="I9" s="1344" t="s">
        <v>1082</v>
      </c>
      <c r="J9" s="1345"/>
      <c r="K9" s="839">
        <f>+'102(a)'!B22</f>
        <v>259</v>
      </c>
    </row>
    <row r="10" spans="1:11" s="431" customFormat="1" ht="12" customHeight="1">
      <c r="A10" s="442"/>
      <c r="B10" s="442"/>
      <c r="C10" s="433"/>
      <c r="D10" s="433"/>
      <c r="E10" s="433"/>
      <c r="F10" s="433"/>
      <c r="G10" s="433"/>
      <c r="I10" s="434"/>
      <c r="J10" s="432"/>
    </row>
    <row r="11" spans="1:11" s="437" customFormat="1" ht="24.75" customHeight="1">
      <c r="A11" s="1365" t="s">
        <v>1040</v>
      </c>
      <c r="B11" s="1366" t="s">
        <v>1041</v>
      </c>
      <c r="C11" s="1368" t="s">
        <v>1042</v>
      </c>
      <c r="D11" s="1339" t="s">
        <v>1079</v>
      </c>
      <c r="E11" s="1339" t="s">
        <v>1080</v>
      </c>
      <c r="F11" s="1369" t="s">
        <v>1043</v>
      </c>
      <c r="G11" s="1369"/>
      <c r="H11" s="1369"/>
      <c r="I11" s="1365" t="s">
        <v>1046</v>
      </c>
      <c r="J11" s="1365" t="s">
        <v>1088</v>
      </c>
      <c r="K11" s="1365"/>
    </row>
    <row r="12" spans="1:11" s="437" customFormat="1" ht="16.5" customHeight="1">
      <c r="A12" s="1365"/>
      <c r="B12" s="1367"/>
      <c r="C12" s="1368"/>
      <c r="D12" s="1340"/>
      <c r="E12" s="1340"/>
      <c r="F12" s="486" t="s">
        <v>1045</v>
      </c>
      <c r="G12" s="486" t="s">
        <v>1067</v>
      </c>
      <c r="H12" s="486" t="s">
        <v>1084</v>
      </c>
      <c r="I12" s="1365"/>
      <c r="J12" s="1365"/>
      <c r="K12" s="1365"/>
    </row>
    <row r="13" spans="1:11" ht="8.1" customHeight="1">
      <c r="A13" s="1348"/>
      <c r="B13" s="1346"/>
      <c r="C13" s="1346"/>
      <c r="D13" s="1346"/>
      <c r="E13" s="1346"/>
      <c r="F13" s="1346"/>
      <c r="G13" s="1346"/>
      <c r="H13" s="1346"/>
      <c r="I13" s="1346"/>
      <c r="J13" s="1346"/>
      <c r="K13" s="1346"/>
    </row>
    <row r="14" spans="1:11" s="431" customFormat="1" ht="35.25" customHeight="1">
      <c r="A14" s="1352" t="s">
        <v>1389</v>
      </c>
      <c r="B14" s="440">
        <v>1.1000000000000001</v>
      </c>
      <c r="C14" s="438" t="str">
        <f>+'102(a)'!A30</f>
        <v>a.  Bachellors / Masters</v>
      </c>
      <c r="D14" s="438">
        <f>6155+4040</f>
        <v>10195</v>
      </c>
      <c r="E14" s="840">
        <f>+'102(a)'!B30</f>
        <v>10846</v>
      </c>
      <c r="F14" s="840">
        <f>+'102(a)'!C30</f>
        <v>11896</v>
      </c>
      <c r="G14" s="840">
        <f>+'102(a)'!D30</f>
        <v>15031</v>
      </c>
      <c r="H14" s="841">
        <f>+G14*1.1</f>
        <v>16534.100000000002</v>
      </c>
      <c r="I14" s="438" t="s">
        <v>1388</v>
      </c>
      <c r="J14" s="1355"/>
      <c r="K14" s="1355"/>
    </row>
    <row r="15" spans="1:11" s="431" customFormat="1" ht="24" customHeight="1">
      <c r="A15" s="1352"/>
      <c r="B15" s="440">
        <v>1.2</v>
      </c>
      <c r="C15" s="438" t="str">
        <f>+'102(a)'!A31</f>
        <v>b.  MS / MPhil</v>
      </c>
      <c r="D15" s="438">
        <v>1796</v>
      </c>
      <c r="E15" s="438">
        <f>+'102(a)'!B31</f>
        <v>1699</v>
      </c>
      <c r="F15" s="438">
        <f>+'102(a)'!C31</f>
        <v>1362</v>
      </c>
      <c r="G15" s="840">
        <f>+'102(a)'!D31</f>
        <v>1430</v>
      </c>
      <c r="H15" s="841">
        <f t="shared" ref="H15:H17" si="1">+G15*1.1</f>
        <v>1573.0000000000002</v>
      </c>
      <c r="I15" s="438" t="s">
        <v>1388</v>
      </c>
      <c r="J15" s="1355"/>
      <c r="K15" s="1355"/>
    </row>
    <row r="16" spans="1:11" s="431" customFormat="1" ht="24" customHeight="1">
      <c r="A16" s="1352"/>
      <c r="B16" s="440">
        <v>1.3</v>
      </c>
      <c r="C16" s="438" t="str">
        <f>+'102(a)'!A32</f>
        <v>c.  PhD</v>
      </c>
      <c r="D16" s="438">
        <v>917</v>
      </c>
      <c r="E16" s="438">
        <f>+'102(a)'!B32</f>
        <v>877</v>
      </c>
      <c r="F16" s="438">
        <f>+'102(a)'!C32</f>
        <v>482</v>
      </c>
      <c r="G16" s="840">
        <f>+'102(a)'!D32</f>
        <v>506</v>
      </c>
      <c r="H16" s="841">
        <f t="shared" si="1"/>
        <v>556.6</v>
      </c>
      <c r="I16" s="438" t="s">
        <v>1388</v>
      </c>
      <c r="J16" s="1355"/>
      <c r="K16" s="1355"/>
    </row>
    <row r="17" spans="1:11" s="431" customFormat="1" ht="33.75" customHeight="1">
      <c r="A17" s="1352"/>
      <c r="B17" s="440">
        <v>1.4</v>
      </c>
      <c r="C17" s="831" t="str">
        <f>+'102(a)'!A33</f>
        <v>d.  PGD (1 year &amp; 2 years duration only)</v>
      </c>
      <c r="D17" s="438"/>
      <c r="E17" s="438">
        <f>+'102(a)'!B33</f>
        <v>77</v>
      </c>
      <c r="F17" s="438">
        <f>+'102(a)'!C33</f>
        <v>176</v>
      </c>
      <c r="G17" s="840">
        <f>+'102(a)'!D33</f>
        <v>176</v>
      </c>
      <c r="H17" s="841">
        <f t="shared" si="1"/>
        <v>193.60000000000002</v>
      </c>
      <c r="I17" s="438" t="s">
        <v>1388</v>
      </c>
      <c r="J17" s="1355"/>
      <c r="K17" s="1355"/>
    </row>
    <row r="18" spans="1:11" s="431" customFormat="1" ht="29.25" customHeight="1">
      <c r="A18" s="1352"/>
      <c r="B18" s="440">
        <v>1.5</v>
      </c>
      <c r="C18" s="438" t="s">
        <v>1370</v>
      </c>
      <c r="D18" s="438">
        <v>1094</v>
      </c>
      <c r="E18" s="438">
        <v>649</v>
      </c>
      <c r="F18" s="438">
        <v>309</v>
      </c>
      <c r="G18" s="438">
        <v>1000</v>
      </c>
      <c r="H18" s="438">
        <v>2000</v>
      </c>
      <c r="I18" s="831" t="s">
        <v>1371</v>
      </c>
      <c r="J18" s="1357"/>
      <c r="K18" s="1358"/>
    </row>
    <row r="19" spans="1:11" s="431" customFormat="1" ht="29.25" customHeight="1">
      <c r="A19" s="1353"/>
      <c r="B19" s="843"/>
      <c r="C19" s="438" t="s">
        <v>1391</v>
      </c>
      <c r="D19" s="438">
        <v>9</v>
      </c>
      <c r="E19" s="1359" t="s">
        <v>1392</v>
      </c>
      <c r="F19" s="1360"/>
      <c r="G19" s="1360"/>
      <c r="H19" s="1361"/>
      <c r="I19" s="438" t="s">
        <v>1388</v>
      </c>
      <c r="J19" s="844"/>
      <c r="K19" s="845"/>
    </row>
    <row r="20" spans="1:11" s="436" customFormat="1" ht="50.25" customHeight="1" thickBot="1">
      <c r="A20" s="1354"/>
      <c r="B20" s="443">
        <v>1.6</v>
      </c>
      <c r="C20" s="831" t="s">
        <v>1390</v>
      </c>
      <c r="D20" s="842">
        <v>109.2</v>
      </c>
      <c r="E20" s="438">
        <v>133.86099999999999</v>
      </c>
      <c r="F20" s="831">
        <v>133.86099999999999</v>
      </c>
      <c r="G20" s="438">
        <v>133.86099999999999</v>
      </c>
      <c r="H20" s="438">
        <v>133.86099999999999</v>
      </c>
      <c r="I20" s="438" t="s">
        <v>1388</v>
      </c>
      <c r="J20" s="1356"/>
      <c r="K20" s="1356"/>
    </row>
    <row r="21" spans="1:11" s="431" customFormat="1" ht="8.25" customHeight="1" thickTop="1">
      <c r="A21" s="1351"/>
      <c r="B21" s="1351"/>
      <c r="C21" s="1351"/>
      <c r="D21" s="1351"/>
      <c r="E21" s="1351"/>
      <c r="F21" s="1351"/>
      <c r="G21" s="1351"/>
      <c r="H21" s="1351"/>
      <c r="I21" s="1351"/>
      <c r="J21" s="1351"/>
      <c r="K21" s="1351"/>
    </row>
    <row r="22" spans="1:11" s="431" customFormat="1" ht="29.25" customHeight="1">
      <c r="A22" s="1373" t="s">
        <v>1393</v>
      </c>
      <c r="B22" s="846">
        <v>2.1</v>
      </c>
      <c r="C22" s="847" t="s">
        <v>1394</v>
      </c>
      <c r="D22" s="849">
        <v>5.6944444444444443E-2</v>
      </c>
      <c r="E22" s="850" t="str">
        <f>+'102(a)'!B38</f>
        <v>1 : 3.8</v>
      </c>
      <c r="F22" s="850" t="str">
        <f>+'102(a)'!C38</f>
        <v>1 : 4</v>
      </c>
      <c r="G22" s="850" t="str">
        <f>+'102(a)'!D38</f>
        <v>1 : 4</v>
      </c>
      <c r="H22" s="850"/>
      <c r="I22" s="853" t="s">
        <v>1398</v>
      </c>
      <c r="J22" s="1375"/>
      <c r="K22" s="1375"/>
    </row>
    <row r="23" spans="1:11" s="431" customFormat="1" ht="29.25" customHeight="1">
      <c r="A23" s="1373"/>
      <c r="B23" s="846">
        <v>2.1</v>
      </c>
      <c r="C23" s="847" t="s">
        <v>1395</v>
      </c>
      <c r="D23" s="851">
        <v>3</v>
      </c>
      <c r="E23" s="851">
        <v>4</v>
      </c>
      <c r="F23" s="850">
        <v>5</v>
      </c>
      <c r="G23" s="850"/>
      <c r="H23" s="850"/>
      <c r="I23" s="853" t="s">
        <v>1399</v>
      </c>
      <c r="J23" s="1375"/>
      <c r="K23" s="1375"/>
    </row>
    <row r="24" spans="1:11" s="431" customFormat="1" ht="28.5" customHeight="1">
      <c r="A24" s="1373"/>
      <c r="B24" s="846">
        <v>2.2000000000000002</v>
      </c>
      <c r="C24" s="847" t="s">
        <v>1396</v>
      </c>
      <c r="D24" s="851">
        <v>224</v>
      </c>
      <c r="E24" s="852">
        <f>+'102(a)'!B21</f>
        <v>572</v>
      </c>
      <c r="F24" s="852">
        <f>+'102(a)'!D21</f>
        <v>548</v>
      </c>
      <c r="G24" s="852">
        <f>+F24</f>
        <v>548</v>
      </c>
      <c r="H24" s="850"/>
      <c r="I24" s="853" t="s">
        <v>1026</v>
      </c>
      <c r="J24" s="1375"/>
      <c r="K24" s="1375"/>
    </row>
    <row r="25" spans="1:11" s="431" customFormat="1" ht="63">
      <c r="A25" s="1373"/>
      <c r="B25" s="846">
        <v>2.2999999999999998</v>
      </c>
      <c r="C25" s="847" t="s">
        <v>1397</v>
      </c>
      <c r="D25" s="851">
        <v>3</v>
      </c>
      <c r="E25" s="851">
        <v>2</v>
      </c>
      <c r="F25" s="850">
        <v>5</v>
      </c>
      <c r="G25" s="850">
        <v>5</v>
      </c>
      <c r="H25" s="850"/>
      <c r="I25" s="853" t="s">
        <v>1400</v>
      </c>
      <c r="J25" s="1375"/>
      <c r="K25" s="1375"/>
    </row>
    <row r="26" spans="1:11" s="431" customFormat="1" ht="50.25" customHeight="1">
      <c r="A26" s="1373"/>
      <c r="B26" s="846">
        <v>2.5</v>
      </c>
      <c r="C26" s="847"/>
      <c r="D26" s="851"/>
      <c r="E26" s="851"/>
      <c r="F26" s="850"/>
      <c r="G26" s="850"/>
      <c r="H26" s="850"/>
      <c r="I26" s="853"/>
      <c r="J26" s="1375"/>
      <c r="K26" s="1375"/>
    </row>
    <row r="27" spans="1:11" s="431" customFormat="1" ht="37.5" customHeight="1" thickBot="1">
      <c r="A27" s="1374"/>
      <c r="B27" s="846">
        <v>2.6</v>
      </c>
      <c r="C27" s="848"/>
      <c r="D27" s="848"/>
      <c r="E27" s="848"/>
      <c r="F27" s="848"/>
      <c r="G27" s="848"/>
      <c r="H27" s="848"/>
      <c r="I27" s="848"/>
      <c r="J27" s="1376"/>
      <c r="K27" s="1376"/>
    </row>
    <row r="28" spans="1:11" s="431" customFormat="1" ht="10.5" customHeight="1" thickTop="1">
      <c r="A28" s="836"/>
      <c r="B28" s="836"/>
      <c r="C28" s="836"/>
      <c r="D28" s="836"/>
      <c r="E28" s="836"/>
      <c r="F28" s="836"/>
      <c r="G28" s="836"/>
      <c r="H28" s="836"/>
      <c r="I28" s="836"/>
      <c r="J28" s="836"/>
      <c r="K28" s="836"/>
    </row>
    <row r="29" spans="1:11" s="431" customFormat="1" ht="10.5" customHeight="1">
      <c r="A29" s="836"/>
      <c r="B29" s="836"/>
      <c r="C29" s="836"/>
      <c r="D29" s="836"/>
      <c r="E29" s="836"/>
      <c r="F29" s="836"/>
      <c r="G29" s="836"/>
      <c r="H29" s="836"/>
      <c r="I29" s="836"/>
      <c r="J29" s="836"/>
      <c r="K29" s="836"/>
    </row>
    <row r="30" spans="1:11" s="436" customFormat="1" ht="10.5" customHeight="1">
      <c r="A30" s="836"/>
      <c r="B30" s="836"/>
      <c r="C30" s="836"/>
      <c r="D30" s="836"/>
      <c r="E30" s="836"/>
      <c r="F30" s="836"/>
      <c r="G30" s="836"/>
      <c r="H30" s="836"/>
      <c r="I30" s="836"/>
      <c r="J30" s="836"/>
      <c r="K30" s="836"/>
    </row>
    <row r="31" spans="1:11" s="431" customFormat="1" ht="51.75" customHeight="1">
      <c r="A31" s="1377" t="s">
        <v>1372</v>
      </c>
      <c r="B31" s="864">
        <v>3.1</v>
      </c>
      <c r="C31" s="862" t="s">
        <v>1373</v>
      </c>
      <c r="D31" s="865" t="s">
        <v>1342</v>
      </c>
      <c r="E31" s="865" t="s">
        <v>1374</v>
      </c>
      <c r="F31" s="866" t="s">
        <v>1375</v>
      </c>
      <c r="G31" s="1335" t="s">
        <v>1376</v>
      </c>
      <c r="H31" s="1336"/>
      <c r="I31" s="863" t="s">
        <v>1377</v>
      </c>
      <c r="J31" s="1372"/>
      <c r="K31" s="1372"/>
    </row>
    <row r="32" spans="1:11" s="431" customFormat="1" ht="48.75" customHeight="1">
      <c r="A32" s="1377"/>
      <c r="B32" s="864">
        <v>3.2</v>
      </c>
      <c r="C32" s="862" t="s">
        <v>1378</v>
      </c>
      <c r="D32" s="865">
        <v>1</v>
      </c>
      <c r="E32" s="865">
        <v>3</v>
      </c>
      <c r="F32" s="865">
        <v>4</v>
      </c>
      <c r="G32" s="865">
        <v>5</v>
      </c>
      <c r="H32" s="865">
        <v>6</v>
      </c>
      <c r="I32" s="863" t="s">
        <v>1377</v>
      </c>
      <c r="J32" s="1372"/>
      <c r="K32" s="1372"/>
    </row>
    <row r="33" spans="1:11" s="431" customFormat="1" ht="52.5" customHeight="1">
      <c r="A33" s="1377"/>
      <c r="B33" s="864">
        <v>3.3</v>
      </c>
      <c r="C33" s="862" t="s">
        <v>1379</v>
      </c>
      <c r="D33" s="865">
        <v>15</v>
      </c>
      <c r="E33" s="865">
        <v>11</v>
      </c>
      <c r="F33" s="865">
        <v>13</v>
      </c>
      <c r="G33" s="865">
        <v>15</v>
      </c>
      <c r="H33" s="865">
        <v>18</v>
      </c>
      <c r="I33" s="863" t="s">
        <v>1377</v>
      </c>
      <c r="J33" s="1372"/>
      <c r="K33" s="1372"/>
    </row>
    <row r="34" spans="1:11" s="431" customFormat="1" ht="41.25" customHeight="1">
      <c r="A34" s="1377"/>
      <c r="B34" s="864">
        <v>3.4</v>
      </c>
      <c r="C34" s="862" t="s">
        <v>1380</v>
      </c>
      <c r="D34" s="865">
        <v>2</v>
      </c>
      <c r="E34" s="865">
        <v>2</v>
      </c>
      <c r="F34" s="865">
        <v>3</v>
      </c>
      <c r="G34" s="865">
        <v>4</v>
      </c>
      <c r="H34" s="865">
        <v>5</v>
      </c>
      <c r="I34" s="863" t="s">
        <v>1377</v>
      </c>
      <c r="J34" s="1372"/>
      <c r="K34" s="1372"/>
    </row>
    <row r="35" spans="1:11" s="431" customFormat="1" ht="42.75" customHeight="1">
      <c r="A35" s="1377"/>
      <c r="B35" s="864">
        <v>3.5</v>
      </c>
      <c r="C35" s="862" t="s">
        <v>1381</v>
      </c>
      <c r="D35" s="865" t="s">
        <v>1342</v>
      </c>
      <c r="E35" s="865"/>
      <c r="F35" s="865"/>
      <c r="G35" s="865"/>
      <c r="H35" s="865"/>
      <c r="I35" s="863"/>
      <c r="J35" s="1349"/>
      <c r="K35" s="1350"/>
    </row>
    <row r="36" spans="1:11" s="431" customFormat="1" ht="42.75" customHeight="1" thickBot="1">
      <c r="A36" s="1378"/>
      <c r="B36" s="864">
        <v>3.6</v>
      </c>
      <c r="C36" s="868" t="s">
        <v>1382</v>
      </c>
      <c r="D36" s="865" t="s">
        <v>1342</v>
      </c>
      <c r="E36" s="869"/>
      <c r="F36" s="869"/>
      <c r="G36" s="869"/>
      <c r="H36" s="869"/>
      <c r="I36" s="870"/>
      <c r="J36" s="871"/>
      <c r="K36" s="872"/>
    </row>
    <row r="37" spans="1:11" s="431" customFormat="1" ht="72" customHeight="1" thickTop="1">
      <c r="A37" s="1378"/>
      <c r="B37" s="864">
        <v>3.7</v>
      </c>
      <c r="C37" s="862" t="s">
        <v>1331</v>
      </c>
      <c r="D37" s="862">
        <v>61</v>
      </c>
      <c r="E37" s="863">
        <v>23</v>
      </c>
      <c r="F37" s="863">
        <v>25</v>
      </c>
      <c r="G37" s="863">
        <v>34</v>
      </c>
      <c r="H37" s="863">
        <v>40</v>
      </c>
      <c r="I37" s="863" t="s">
        <v>1332</v>
      </c>
      <c r="J37" s="1372" t="s">
        <v>1333</v>
      </c>
      <c r="K37" s="1372"/>
    </row>
    <row r="38" spans="1:11" s="431" customFormat="1" ht="72" customHeight="1">
      <c r="A38" s="1378"/>
      <c r="B38" s="864">
        <v>3.8</v>
      </c>
      <c r="C38" s="862" t="s">
        <v>1334</v>
      </c>
      <c r="D38" s="862" t="s">
        <v>1335</v>
      </c>
      <c r="E38" s="863">
        <v>5</v>
      </c>
      <c r="F38" s="863">
        <v>40</v>
      </c>
      <c r="G38" s="863">
        <v>63.23</v>
      </c>
      <c r="H38" s="863"/>
      <c r="I38" s="863" t="s">
        <v>1336</v>
      </c>
      <c r="J38" s="1372" t="s">
        <v>1337</v>
      </c>
      <c r="K38" s="1372"/>
    </row>
    <row r="39" spans="1:11" s="431" customFormat="1" ht="72" customHeight="1">
      <c r="A39" s="1378"/>
      <c r="B39" s="864">
        <v>3.9</v>
      </c>
      <c r="C39" s="862" t="s">
        <v>1338</v>
      </c>
      <c r="D39" s="862" t="s">
        <v>1339</v>
      </c>
      <c r="E39" s="862" t="s">
        <v>1340</v>
      </c>
      <c r="F39" s="863">
        <v>95</v>
      </c>
      <c r="G39" s="863">
        <v>200</v>
      </c>
      <c r="H39" s="863">
        <v>26.78</v>
      </c>
      <c r="I39" s="863" t="s">
        <v>1336</v>
      </c>
      <c r="J39" s="1372" t="s">
        <v>1337</v>
      </c>
      <c r="K39" s="1372"/>
    </row>
    <row r="40" spans="1:11" s="436" customFormat="1" ht="65.25" customHeight="1" thickBot="1">
      <c r="A40" s="1379"/>
      <c r="B40" s="867"/>
      <c r="C40" s="868"/>
      <c r="D40" s="865"/>
      <c r="E40" s="873"/>
      <c r="F40" s="873"/>
      <c r="G40" s="873"/>
      <c r="H40" s="873"/>
      <c r="I40" s="874"/>
      <c r="J40" s="1380"/>
      <c r="K40" s="1380"/>
    </row>
    <row r="41" spans="1:11" s="861" customFormat="1" ht="7.5" customHeight="1" thickTop="1">
      <c r="A41" s="854"/>
      <c r="B41" s="855"/>
      <c r="C41" s="856"/>
      <c r="D41" s="857"/>
      <c r="E41" s="858"/>
      <c r="F41" s="858"/>
      <c r="G41" s="858"/>
      <c r="H41" s="858"/>
      <c r="I41" s="859"/>
      <c r="J41" s="860"/>
      <c r="K41" s="860"/>
    </row>
    <row r="42" spans="1:11" s="431" customFormat="1" ht="3" customHeight="1">
      <c r="A42" s="1346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</row>
    <row r="43" spans="1:11" s="436" customFormat="1" ht="24" customHeight="1">
      <c r="A43" s="484"/>
      <c r="B43" s="485"/>
      <c r="C43" s="483"/>
      <c r="D43" s="483"/>
      <c r="E43" s="483"/>
      <c r="F43" s="483"/>
      <c r="G43" s="483"/>
      <c r="H43" s="483"/>
      <c r="I43" s="483"/>
      <c r="J43" s="483"/>
      <c r="K43" s="483"/>
    </row>
    <row r="44" spans="1:11" ht="42.75" customHeight="1" thickBot="1">
      <c r="A44" s="1362" t="s">
        <v>1401</v>
      </c>
      <c r="B44" s="875">
        <v>4.0999999999999996</v>
      </c>
      <c r="C44" s="876" t="s">
        <v>1341</v>
      </c>
      <c r="D44" s="877">
        <v>8</v>
      </c>
      <c r="E44" s="877">
        <v>21</v>
      </c>
      <c r="F44" s="877">
        <v>27</v>
      </c>
      <c r="G44" s="877">
        <v>35</v>
      </c>
      <c r="H44" s="877">
        <v>40</v>
      </c>
      <c r="I44" s="878" t="s">
        <v>1332</v>
      </c>
      <c r="J44" s="1347" t="s">
        <v>1333</v>
      </c>
      <c r="K44" s="1347"/>
    </row>
    <row r="45" spans="1:11" ht="47.25" customHeight="1" thickTop="1">
      <c r="A45" s="1362"/>
      <c r="B45" s="875">
        <v>4.2</v>
      </c>
      <c r="C45" s="879" t="s">
        <v>1402</v>
      </c>
      <c r="D45" s="878"/>
      <c r="E45" s="878"/>
      <c r="F45" s="879" t="s">
        <v>1404</v>
      </c>
      <c r="G45" s="879" t="s">
        <v>1411</v>
      </c>
      <c r="H45" s="879" t="s">
        <v>1410</v>
      </c>
      <c r="I45" s="879" t="s">
        <v>1408</v>
      </c>
      <c r="J45" s="1347"/>
      <c r="K45" s="1347"/>
    </row>
    <row r="46" spans="1:11" ht="47.25" customHeight="1">
      <c r="A46" s="1362"/>
      <c r="B46" s="875">
        <v>4.3</v>
      </c>
      <c r="C46" s="878" t="s">
        <v>1403</v>
      </c>
      <c r="D46" s="878"/>
      <c r="E46" s="878"/>
      <c r="F46" s="878" t="s">
        <v>1405</v>
      </c>
      <c r="G46" s="878" t="s">
        <v>1406</v>
      </c>
      <c r="H46" s="878" t="s">
        <v>1407</v>
      </c>
      <c r="I46" s="879" t="s">
        <v>1409</v>
      </c>
      <c r="J46" s="1347"/>
      <c r="K46" s="1347"/>
    </row>
    <row r="47" spans="1:11" ht="44.25" customHeight="1">
      <c r="A47" s="1362"/>
      <c r="B47" s="875">
        <v>4.4000000000000004</v>
      </c>
      <c r="C47" s="879" t="s">
        <v>1412</v>
      </c>
      <c r="D47" s="878">
        <v>26.128</v>
      </c>
      <c r="E47" s="880">
        <f>+'101'!C33</f>
        <v>5.7869999999999999</v>
      </c>
      <c r="F47" s="880">
        <f>+'101'!D33</f>
        <v>16.5</v>
      </c>
      <c r="G47" s="880">
        <f>+'101'!G33</f>
        <v>1.627</v>
      </c>
      <c r="H47" s="880">
        <f>+'101'!I33</f>
        <v>16.5</v>
      </c>
      <c r="I47" s="878" t="s">
        <v>1413</v>
      </c>
      <c r="J47" s="1347"/>
      <c r="K47" s="1347"/>
    </row>
    <row r="48" spans="1:11" s="435" customFormat="1" ht="42.75" customHeight="1">
      <c r="A48" s="1362"/>
      <c r="B48" s="875">
        <v>4.5</v>
      </c>
      <c r="C48" s="879" t="s">
        <v>1414</v>
      </c>
      <c r="D48" s="881">
        <v>0.48</v>
      </c>
      <c r="E48" s="881">
        <f>+'102(a)'!B40</f>
        <v>0.539494126650783</v>
      </c>
      <c r="F48" s="881">
        <f>+'102(a)'!C40</f>
        <v>0.55297660493153489</v>
      </c>
      <c r="G48" s="881">
        <f>+'102(a)'!D40</f>
        <v>0.68458554276437644</v>
      </c>
      <c r="H48" s="881">
        <v>0.6</v>
      </c>
      <c r="I48" s="878" t="s">
        <v>1415</v>
      </c>
      <c r="J48" s="1347"/>
      <c r="K48" s="1347"/>
    </row>
    <row r="53" spans="1:11">
      <c r="A53" s="435"/>
      <c r="C53" s="435"/>
      <c r="D53" s="435"/>
      <c r="E53" s="435"/>
      <c r="F53" s="435"/>
      <c r="G53" s="1342" t="s">
        <v>1047</v>
      </c>
      <c r="H53" s="1342"/>
      <c r="I53" s="1343" t="s">
        <v>1048</v>
      </c>
      <c r="J53" s="1343"/>
      <c r="K53" s="1343"/>
    </row>
  </sheetData>
  <mergeCells count="57">
    <mergeCell ref="J37:K37"/>
    <mergeCell ref="J38:K38"/>
    <mergeCell ref="J39:K39"/>
    <mergeCell ref="A22:A27"/>
    <mergeCell ref="J22:K22"/>
    <mergeCell ref="J23:K23"/>
    <mergeCell ref="J24:K24"/>
    <mergeCell ref="J25:K25"/>
    <mergeCell ref="J26:K26"/>
    <mergeCell ref="J27:K27"/>
    <mergeCell ref="A31:A40"/>
    <mergeCell ref="J31:K31"/>
    <mergeCell ref="J32:K32"/>
    <mergeCell ref="J33:K33"/>
    <mergeCell ref="J34:K34"/>
    <mergeCell ref="J40:K40"/>
    <mergeCell ref="A44:A48"/>
    <mergeCell ref="J48:K48"/>
    <mergeCell ref="A2:K2"/>
    <mergeCell ref="A11:A12"/>
    <mergeCell ref="B11:B12"/>
    <mergeCell ref="C11:C12"/>
    <mergeCell ref="F11:H11"/>
    <mergeCell ref="I11:I12"/>
    <mergeCell ref="J11:K12"/>
    <mergeCell ref="A9:C9"/>
    <mergeCell ref="I8:J8"/>
    <mergeCell ref="I9:J9"/>
    <mergeCell ref="A6:C6"/>
    <mergeCell ref="A7:C7"/>
    <mergeCell ref="A8:C8"/>
    <mergeCell ref="E11:E12"/>
    <mergeCell ref="A21:K21"/>
    <mergeCell ref="A14:A20"/>
    <mergeCell ref="J14:K14"/>
    <mergeCell ref="J15:K15"/>
    <mergeCell ref="J16:K16"/>
    <mergeCell ref="J17:K17"/>
    <mergeCell ref="J20:K20"/>
    <mergeCell ref="J18:K18"/>
    <mergeCell ref="E19:H19"/>
    <mergeCell ref="G31:H31"/>
    <mergeCell ref="J1:K1"/>
    <mergeCell ref="D11:D12"/>
    <mergeCell ref="A4:H5"/>
    <mergeCell ref="G53:H53"/>
    <mergeCell ref="I53:K53"/>
    <mergeCell ref="I5:J5"/>
    <mergeCell ref="I7:J7"/>
    <mergeCell ref="I6:J6"/>
    <mergeCell ref="A42:K42"/>
    <mergeCell ref="J44:K44"/>
    <mergeCell ref="J45:K45"/>
    <mergeCell ref="J46:K46"/>
    <mergeCell ref="J47:K47"/>
    <mergeCell ref="A13:K13"/>
    <mergeCell ref="J35:K35"/>
  </mergeCells>
  <printOptions horizontalCentered="1"/>
  <pageMargins left="0.45" right="0.2" top="0.67500000000000004" bottom="0.25" header="0.25" footer="0.05"/>
  <pageSetup scale="7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XFD400"/>
  <sheetViews>
    <sheetView view="pageBreakPreview" topLeftCell="A219" zoomScaleNormal="60" zoomScaleSheetLayoutView="100" workbookViewId="0">
      <selection activeCell="C96" sqref="C96:C97"/>
    </sheetView>
  </sheetViews>
  <sheetFormatPr defaultRowHeight="14.25"/>
  <cols>
    <col min="1" max="1" width="19.7109375" style="186" customWidth="1"/>
    <col min="2" max="2" width="6.42578125" style="185" bestFit="1" customWidth="1"/>
    <col min="3" max="3" width="9" style="1" customWidth="1"/>
    <col min="4" max="8" width="7.28515625" style="1" customWidth="1"/>
    <col min="9" max="9" width="11.7109375" style="634" customWidth="1"/>
    <col min="10" max="10" width="7.28515625" style="1" customWidth="1"/>
    <col min="11" max="11" width="11.7109375" style="634" customWidth="1"/>
    <col min="12" max="15" width="9.140625" style="10"/>
    <col min="16" max="16" width="12.7109375" style="10" bestFit="1" customWidth="1"/>
    <col min="17" max="20" width="9.140625" style="10"/>
    <col min="21" max="244" width="9.140625" style="1"/>
    <col min="245" max="245" width="33.85546875" style="1" bestFit="1" customWidth="1"/>
    <col min="246" max="246" width="6.42578125" style="1" bestFit="1" customWidth="1"/>
    <col min="247" max="247" width="10.85546875" style="1" bestFit="1" customWidth="1"/>
    <col min="248" max="251" width="7" style="1" customWidth="1"/>
    <col min="252" max="252" width="6.85546875" style="1" customWidth="1"/>
    <col min="253" max="253" width="10.42578125" style="1" customWidth="1"/>
    <col min="254" max="254" width="7.42578125" style="1" bestFit="1" customWidth="1"/>
    <col min="255" max="255" width="10.42578125" style="1" customWidth="1"/>
    <col min="256" max="256" width="10.85546875" style="1" bestFit="1" customWidth="1"/>
    <col min="257" max="260" width="7" style="1" customWidth="1"/>
    <col min="261" max="261" width="6" style="1" bestFit="1" customWidth="1"/>
    <col min="262" max="262" width="10.42578125" style="1" customWidth="1"/>
    <col min="263" max="263" width="7.42578125" style="1" bestFit="1" customWidth="1"/>
    <col min="264" max="264" width="10.42578125" style="1" customWidth="1"/>
    <col min="265" max="265" width="12" style="1" customWidth="1"/>
    <col min="266" max="266" width="8.85546875" style="1" customWidth="1"/>
    <col min="267" max="267" width="14" style="1" customWidth="1"/>
    <col min="268" max="500" width="9.140625" style="1"/>
    <col min="501" max="501" width="33.85546875" style="1" bestFit="1" customWidth="1"/>
    <col min="502" max="502" width="6.42578125" style="1" bestFit="1" customWidth="1"/>
    <col min="503" max="503" width="10.85546875" style="1" bestFit="1" customWidth="1"/>
    <col min="504" max="507" width="7" style="1" customWidth="1"/>
    <col min="508" max="508" width="6.85546875" style="1" customWidth="1"/>
    <col min="509" max="509" width="10.42578125" style="1" customWidth="1"/>
    <col min="510" max="510" width="7.42578125" style="1" bestFit="1" customWidth="1"/>
    <col min="511" max="511" width="10.42578125" style="1" customWidth="1"/>
    <col min="512" max="512" width="10.85546875" style="1" bestFit="1" customWidth="1"/>
    <col min="513" max="516" width="7" style="1" customWidth="1"/>
    <col min="517" max="517" width="6" style="1" bestFit="1" customWidth="1"/>
    <col min="518" max="518" width="10.42578125" style="1" customWidth="1"/>
    <col min="519" max="519" width="7.42578125" style="1" bestFit="1" customWidth="1"/>
    <col min="520" max="520" width="10.42578125" style="1" customWidth="1"/>
    <col min="521" max="521" width="12" style="1" customWidth="1"/>
    <col min="522" max="522" width="8.85546875" style="1" customWidth="1"/>
    <col min="523" max="523" width="14" style="1" customWidth="1"/>
    <col min="524" max="756" width="9.140625" style="1"/>
    <col min="757" max="757" width="33.85546875" style="1" bestFit="1" customWidth="1"/>
    <col min="758" max="758" width="6.42578125" style="1" bestFit="1" customWidth="1"/>
    <col min="759" max="759" width="10.85546875" style="1" bestFit="1" customWidth="1"/>
    <col min="760" max="763" width="7" style="1" customWidth="1"/>
    <col min="764" max="764" width="6.85546875" style="1" customWidth="1"/>
    <col min="765" max="765" width="10.42578125" style="1" customWidth="1"/>
    <col min="766" max="766" width="7.42578125" style="1" bestFit="1" customWidth="1"/>
    <col min="767" max="767" width="10.42578125" style="1" customWidth="1"/>
    <col min="768" max="768" width="10.85546875" style="1" bestFit="1" customWidth="1"/>
    <col min="769" max="772" width="7" style="1" customWidth="1"/>
    <col min="773" max="773" width="6" style="1" bestFit="1" customWidth="1"/>
    <col min="774" max="774" width="10.42578125" style="1" customWidth="1"/>
    <col min="775" max="775" width="7.42578125" style="1" bestFit="1" customWidth="1"/>
    <col min="776" max="776" width="10.42578125" style="1" customWidth="1"/>
    <col min="777" max="777" width="12" style="1" customWidth="1"/>
    <col min="778" max="778" width="8.85546875" style="1" customWidth="1"/>
    <col min="779" max="779" width="14" style="1" customWidth="1"/>
    <col min="780" max="1012" width="9.140625" style="1"/>
    <col min="1013" max="1013" width="33.85546875" style="1" bestFit="1" customWidth="1"/>
    <col min="1014" max="1014" width="6.42578125" style="1" bestFit="1" customWidth="1"/>
    <col min="1015" max="1015" width="10.85546875" style="1" bestFit="1" customWidth="1"/>
    <col min="1016" max="1019" width="7" style="1" customWidth="1"/>
    <col min="1020" max="1020" width="6.85546875" style="1" customWidth="1"/>
    <col min="1021" max="1021" width="10.42578125" style="1" customWidth="1"/>
    <col min="1022" max="1022" width="7.42578125" style="1" bestFit="1" customWidth="1"/>
    <col min="1023" max="1023" width="10.42578125" style="1" customWidth="1"/>
    <col min="1024" max="1024" width="10.85546875" style="1" bestFit="1" customWidth="1"/>
    <col min="1025" max="1028" width="7" style="1" customWidth="1"/>
    <col min="1029" max="1029" width="6" style="1" bestFit="1" customWidth="1"/>
    <col min="1030" max="1030" width="10.42578125" style="1" customWidth="1"/>
    <col min="1031" max="1031" width="7.42578125" style="1" bestFit="1" customWidth="1"/>
    <col min="1032" max="1032" width="10.42578125" style="1" customWidth="1"/>
    <col min="1033" max="1033" width="12" style="1" customWidth="1"/>
    <col min="1034" max="1034" width="8.85546875" style="1" customWidth="1"/>
    <col min="1035" max="1035" width="14" style="1" customWidth="1"/>
    <col min="1036" max="1268" width="9.140625" style="1"/>
    <col min="1269" max="1269" width="33.85546875" style="1" bestFit="1" customWidth="1"/>
    <col min="1270" max="1270" width="6.42578125" style="1" bestFit="1" customWidth="1"/>
    <col min="1271" max="1271" width="10.85546875" style="1" bestFit="1" customWidth="1"/>
    <col min="1272" max="1275" width="7" style="1" customWidth="1"/>
    <col min="1276" max="1276" width="6.85546875" style="1" customWidth="1"/>
    <col min="1277" max="1277" width="10.42578125" style="1" customWidth="1"/>
    <col min="1278" max="1278" width="7.42578125" style="1" bestFit="1" customWidth="1"/>
    <col min="1279" max="1279" width="10.42578125" style="1" customWidth="1"/>
    <col min="1280" max="1280" width="10.85546875" style="1" bestFit="1" customWidth="1"/>
    <col min="1281" max="1284" width="7" style="1" customWidth="1"/>
    <col min="1285" max="1285" width="6" style="1" bestFit="1" customWidth="1"/>
    <col min="1286" max="1286" width="10.42578125" style="1" customWidth="1"/>
    <col min="1287" max="1287" width="7.42578125" style="1" bestFit="1" customWidth="1"/>
    <col min="1288" max="1288" width="10.42578125" style="1" customWidth="1"/>
    <col min="1289" max="1289" width="12" style="1" customWidth="1"/>
    <col min="1290" max="1290" width="8.85546875" style="1" customWidth="1"/>
    <col min="1291" max="1291" width="14" style="1" customWidth="1"/>
    <col min="1292" max="1524" width="9.140625" style="1"/>
    <col min="1525" max="1525" width="33.85546875" style="1" bestFit="1" customWidth="1"/>
    <col min="1526" max="1526" width="6.42578125" style="1" bestFit="1" customWidth="1"/>
    <col min="1527" max="1527" width="10.85546875" style="1" bestFit="1" customWidth="1"/>
    <col min="1528" max="1531" width="7" style="1" customWidth="1"/>
    <col min="1532" max="1532" width="6.85546875" style="1" customWidth="1"/>
    <col min="1533" max="1533" width="10.42578125" style="1" customWidth="1"/>
    <col min="1534" max="1534" width="7.42578125" style="1" bestFit="1" customWidth="1"/>
    <col min="1535" max="1535" width="10.42578125" style="1" customWidth="1"/>
    <col min="1536" max="1536" width="10.85546875" style="1" bestFit="1" customWidth="1"/>
    <col min="1537" max="1540" width="7" style="1" customWidth="1"/>
    <col min="1541" max="1541" width="6" style="1" bestFit="1" customWidth="1"/>
    <col min="1542" max="1542" width="10.42578125" style="1" customWidth="1"/>
    <col min="1543" max="1543" width="7.42578125" style="1" bestFit="1" customWidth="1"/>
    <col min="1544" max="1544" width="10.42578125" style="1" customWidth="1"/>
    <col min="1545" max="1545" width="12" style="1" customWidth="1"/>
    <col min="1546" max="1546" width="8.85546875" style="1" customWidth="1"/>
    <col min="1547" max="1547" width="14" style="1" customWidth="1"/>
    <col min="1548" max="1780" width="9.140625" style="1"/>
    <col min="1781" max="1781" width="33.85546875" style="1" bestFit="1" customWidth="1"/>
    <col min="1782" max="1782" width="6.42578125" style="1" bestFit="1" customWidth="1"/>
    <col min="1783" max="1783" width="10.85546875" style="1" bestFit="1" customWidth="1"/>
    <col min="1784" max="1787" width="7" style="1" customWidth="1"/>
    <col min="1788" max="1788" width="6.85546875" style="1" customWidth="1"/>
    <col min="1789" max="1789" width="10.42578125" style="1" customWidth="1"/>
    <col min="1790" max="1790" width="7.42578125" style="1" bestFit="1" customWidth="1"/>
    <col min="1791" max="1791" width="10.42578125" style="1" customWidth="1"/>
    <col min="1792" max="1792" width="10.85546875" style="1" bestFit="1" customWidth="1"/>
    <col min="1793" max="1796" width="7" style="1" customWidth="1"/>
    <col min="1797" max="1797" width="6" style="1" bestFit="1" customWidth="1"/>
    <col min="1798" max="1798" width="10.42578125" style="1" customWidth="1"/>
    <col min="1799" max="1799" width="7.42578125" style="1" bestFit="1" customWidth="1"/>
    <col min="1800" max="1800" width="10.42578125" style="1" customWidth="1"/>
    <col min="1801" max="1801" width="12" style="1" customWidth="1"/>
    <col min="1802" max="1802" width="8.85546875" style="1" customWidth="1"/>
    <col min="1803" max="1803" width="14" style="1" customWidth="1"/>
    <col min="1804" max="2036" width="9.140625" style="1"/>
    <col min="2037" max="2037" width="33.85546875" style="1" bestFit="1" customWidth="1"/>
    <col min="2038" max="2038" width="6.42578125" style="1" bestFit="1" customWidth="1"/>
    <col min="2039" max="2039" width="10.85546875" style="1" bestFit="1" customWidth="1"/>
    <col min="2040" max="2043" width="7" style="1" customWidth="1"/>
    <col min="2044" max="2044" width="6.85546875" style="1" customWidth="1"/>
    <col min="2045" max="2045" width="10.42578125" style="1" customWidth="1"/>
    <col min="2046" max="2046" width="7.42578125" style="1" bestFit="1" customWidth="1"/>
    <col min="2047" max="2047" width="10.42578125" style="1" customWidth="1"/>
    <col min="2048" max="2048" width="10.85546875" style="1" bestFit="1" customWidth="1"/>
    <col min="2049" max="2052" width="7" style="1" customWidth="1"/>
    <col min="2053" max="2053" width="6" style="1" bestFit="1" customWidth="1"/>
    <col min="2054" max="2054" width="10.42578125" style="1" customWidth="1"/>
    <col min="2055" max="2055" width="7.42578125" style="1" bestFit="1" customWidth="1"/>
    <col min="2056" max="2056" width="10.42578125" style="1" customWidth="1"/>
    <col min="2057" max="2057" width="12" style="1" customWidth="1"/>
    <col min="2058" max="2058" width="8.85546875" style="1" customWidth="1"/>
    <col min="2059" max="2059" width="14" style="1" customWidth="1"/>
    <col min="2060" max="2292" width="9.140625" style="1"/>
    <col min="2293" max="2293" width="33.85546875" style="1" bestFit="1" customWidth="1"/>
    <col min="2294" max="2294" width="6.42578125" style="1" bestFit="1" customWidth="1"/>
    <col min="2295" max="2295" width="10.85546875" style="1" bestFit="1" customWidth="1"/>
    <col min="2296" max="2299" width="7" style="1" customWidth="1"/>
    <col min="2300" max="2300" width="6.85546875" style="1" customWidth="1"/>
    <col min="2301" max="2301" width="10.42578125" style="1" customWidth="1"/>
    <col min="2302" max="2302" width="7.42578125" style="1" bestFit="1" customWidth="1"/>
    <col min="2303" max="2303" width="10.42578125" style="1" customWidth="1"/>
    <col min="2304" max="2304" width="10.85546875" style="1" bestFit="1" customWidth="1"/>
    <col min="2305" max="2308" width="7" style="1" customWidth="1"/>
    <col min="2309" max="2309" width="6" style="1" bestFit="1" customWidth="1"/>
    <col min="2310" max="2310" width="10.42578125" style="1" customWidth="1"/>
    <col min="2311" max="2311" width="7.42578125" style="1" bestFit="1" customWidth="1"/>
    <col min="2312" max="2312" width="10.42578125" style="1" customWidth="1"/>
    <col min="2313" max="2313" width="12" style="1" customWidth="1"/>
    <col min="2314" max="2314" width="8.85546875" style="1" customWidth="1"/>
    <col min="2315" max="2315" width="14" style="1" customWidth="1"/>
    <col min="2316" max="2548" width="9.140625" style="1"/>
    <col min="2549" max="2549" width="33.85546875" style="1" bestFit="1" customWidth="1"/>
    <col min="2550" max="2550" width="6.42578125" style="1" bestFit="1" customWidth="1"/>
    <col min="2551" max="2551" width="10.85546875" style="1" bestFit="1" customWidth="1"/>
    <col min="2552" max="2555" width="7" style="1" customWidth="1"/>
    <col min="2556" max="2556" width="6.85546875" style="1" customWidth="1"/>
    <col min="2557" max="2557" width="10.42578125" style="1" customWidth="1"/>
    <col min="2558" max="2558" width="7.42578125" style="1" bestFit="1" customWidth="1"/>
    <col min="2559" max="2559" width="10.42578125" style="1" customWidth="1"/>
    <col min="2560" max="2560" width="10.85546875" style="1" bestFit="1" customWidth="1"/>
    <col min="2561" max="2564" width="7" style="1" customWidth="1"/>
    <col min="2565" max="2565" width="6" style="1" bestFit="1" customWidth="1"/>
    <col min="2566" max="2566" width="10.42578125" style="1" customWidth="1"/>
    <col min="2567" max="2567" width="7.42578125" style="1" bestFit="1" customWidth="1"/>
    <col min="2568" max="2568" width="10.42578125" style="1" customWidth="1"/>
    <col min="2569" max="2569" width="12" style="1" customWidth="1"/>
    <col min="2570" max="2570" width="8.85546875" style="1" customWidth="1"/>
    <col min="2571" max="2571" width="14" style="1" customWidth="1"/>
    <col min="2572" max="2804" width="9.140625" style="1"/>
    <col min="2805" max="2805" width="33.85546875" style="1" bestFit="1" customWidth="1"/>
    <col min="2806" max="2806" width="6.42578125" style="1" bestFit="1" customWidth="1"/>
    <col min="2807" max="2807" width="10.85546875" style="1" bestFit="1" customWidth="1"/>
    <col min="2808" max="2811" width="7" style="1" customWidth="1"/>
    <col min="2812" max="2812" width="6.85546875" style="1" customWidth="1"/>
    <col min="2813" max="2813" width="10.42578125" style="1" customWidth="1"/>
    <col min="2814" max="2814" width="7.42578125" style="1" bestFit="1" customWidth="1"/>
    <col min="2815" max="2815" width="10.42578125" style="1" customWidth="1"/>
    <col min="2816" max="2816" width="10.85546875" style="1" bestFit="1" customWidth="1"/>
    <col min="2817" max="2820" width="7" style="1" customWidth="1"/>
    <col min="2821" max="2821" width="6" style="1" bestFit="1" customWidth="1"/>
    <col min="2822" max="2822" width="10.42578125" style="1" customWidth="1"/>
    <col min="2823" max="2823" width="7.42578125" style="1" bestFit="1" customWidth="1"/>
    <col min="2824" max="2824" width="10.42578125" style="1" customWidth="1"/>
    <col min="2825" max="2825" width="12" style="1" customWidth="1"/>
    <col min="2826" max="2826" width="8.85546875" style="1" customWidth="1"/>
    <col min="2827" max="2827" width="14" style="1" customWidth="1"/>
    <col min="2828" max="3060" width="9.140625" style="1"/>
    <col min="3061" max="3061" width="33.85546875" style="1" bestFit="1" customWidth="1"/>
    <col min="3062" max="3062" width="6.42578125" style="1" bestFit="1" customWidth="1"/>
    <col min="3063" max="3063" width="10.85546875" style="1" bestFit="1" customWidth="1"/>
    <col min="3064" max="3067" width="7" style="1" customWidth="1"/>
    <col min="3068" max="3068" width="6.85546875" style="1" customWidth="1"/>
    <col min="3069" max="3069" width="10.42578125" style="1" customWidth="1"/>
    <col min="3070" max="3070" width="7.42578125" style="1" bestFit="1" customWidth="1"/>
    <col min="3071" max="3071" width="10.42578125" style="1" customWidth="1"/>
    <col min="3072" max="3072" width="10.85546875" style="1" bestFit="1" customWidth="1"/>
    <col min="3073" max="3076" width="7" style="1" customWidth="1"/>
    <col min="3077" max="3077" width="6" style="1" bestFit="1" customWidth="1"/>
    <col min="3078" max="3078" width="10.42578125" style="1" customWidth="1"/>
    <col min="3079" max="3079" width="7.42578125" style="1" bestFit="1" customWidth="1"/>
    <col min="3080" max="3080" width="10.42578125" style="1" customWidth="1"/>
    <col min="3081" max="3081" width="12" style="1" customWidth="1"/>
    <col min="3082" max="3082" width="8.85546875" style="1" customWidth="1"/>
    <col min="3083" max="3083" width="14" style="1" customWidth="1"/>
    <col min="3084" max="3316" width="9.140625" style="1"/>
    <col min="3317" max="3317" width="33.85546875" style="1" bestFit="1" customWidth="1"/>
    <col min="3318" max="3318" width="6.42578125" style="1" bestFit="1" customWidth="1"/>
    <col min="3319" max="3319" width="10.85546875" style="1" bestFit="1" customWidth="1"/>
    <col min="3320" max="3323" width="7" style="1" customWidth="1"/>
    <col min="3324" max="3324" width="6.85546875" style="1" customWidth="1"/>
    <col min="3325" max="3325" width="10.42578125" style="1" customWidth="1"/>
    <col min="3326" max="3326" width="7.42578125" style="1" bestFit="1" customWidth="1"/>
    <col min="3327" max="3327" width="10.42578125" style="1" customWidth="1"/>
    <col min="3328" max="3328" width="10.85546875" style="1" bestFit="1" customWidth="1"/>
    <col min="3329" max="3332" width="7" style="1" customWidth="1"/>
    <col min="3333" max="3333" width="6" style="1" bestFit="1" customWidth="1"/>
    <col min="3334" max="3334" width="10.42578125" style="1" customWidth="1"/>
    <col min="3335" max="3335" width="7.42578125" style="1" bestFit="1" customWidth="1"/>
    <col min="3336" max="3336" width="10.42578125" style="1" customWidth="1"/>
    <col min="3337" max="3337" width="12" style="1" customWidth="1"/>
    <col min="3338" max="3338" width="8.85546875" style="1" customWidth="1"/>
    <col min="3339" max="3339" width="14" style="1" customWidth="1"/>
    <col min="3340" max="3572" width="9.140625" style="1"/>
    <col min="3573" max="3573" width="33.85546875" style="1" bestFit="1" customWidth="1"/>
    <col min="3574" max="3574" width="6.42578125" style="1" bestFit="1" customWidth="1"/>
    <col min="3575" max="3575" width="10.85546875" style="1" bestFit="1" customWidth="1"/>
    <col min="3576" max="3579" width="7" style="1" customWidth="1"/>
    <col min="3580" max="3580" width="6.85546875" style="1" customWidth="1"/>
    <col min="3581" max="3581" width="10.42578125" style="1" customWidth="1"/>
    <col min="3582" max="3582" width="7.42578125" style="1" bestFit="1" customWidth="1"/>
    <col min="3583" max="3583" width="10.42578125" style="1" customWidth="1"/>
    <col min="3584" max="3584" width="10.85546875" style="1" bestFit="1" customWidth="1"/>
    <col min="3585" max="3588" width="7" style="1" customWidth="1"/>
    <col min="3589" max="3589" width="6" style="1" bestFit="1" customWidth="1"/>
    <col min="3590" max="3590" width="10.42578125" style="1" customWidth="1"/>
    <col min="3591" max="3591" width="7.42578125" style="1" bestFit="1" customWidth="1"/>
    <col min="3592" max="3592" width="10.42578125" style="1" customWidth="1"/>
    <col min="3593" max="3593" width="12" style="1" customWidth="1"/>
    <col min="3594" max="3594" width="8.85546875" style="1" customWidth="1"/>
    <col min="3595" max="3595" width="14" style="1" customWidth="1"/>
    <col min="3596" max="3828" width="9.140625" style="1"/>
    <col min="3829" max="3829" width="33.85546875" style="1" bestFit="1" customWidth="1"/>
    <col min="3830" max="3830" width="6.42578125" style="1" bestFit="1" customWidth="1"/>
    <col min="3831" max="3831" width="10.85546875" style="1" bestFit="1" customWidth="1"/>
    <col min="3832" max="3835" width="7" style="1" customWidth="1"/>
    <col min="3836" max="3836" width="6.85546875" style="1" customWidth="1"/>
    <col min="3837" max="3837" width="10.42578125" style="1" customWidth="1"/>
    <col min="3838" max="3838" width="7.42578125" style="1" bestFit="1" customWidth="1"/>
    <col min="3839" max="3839" width="10.42578125" style="1" customWidth="1"/>
    <col min="3840" max="3840" width="10.85546875" style="1" bestFit="1" customWidth="1"/>
    <col min="3841" max="3844" width="7" style="1" customWidth="1"/>
    <col min="3845" max="3845" width="6" style="1" bestFit="1" customWidth="1"/>
    <col min="3846" max="3846" width="10.42578125" style="1" customWidth="1"/>
    <col min="3847" max="3847" width="7.42578125" style="1" bestFit="1" customWidth="1"/>
    <col min="3848" max="3848" width="10.42578125" style="1" customWidth="1"/>
    <col min="3849" max="3849" width="12" style="1" customWidth="1"/>
    <col min="3850" max="3850" width="8.85546875" style="1" customWidth="1"/>
    <col min="3851" max="3851" width="14" style="1" customWidth="1"/>
    <col min="3852" max="4084" width="9.140625" style="1"/>
    <col min="4085" max="4085" width="33.85546875" style="1" bestFit="1" customWidth="1"/>
    <col min="4086" max="4086" width="6.42578125" style="1" bestFit="1" customWidth="1"/>
    <col min="4087" max="4087" width="10.85546875" style="1" bestFit="1" customWidth="1"/>
    <col min="4088" max="4091" width="7" style="1" customWidth="1"/>
    <col min="4092" max="4092" width="6.85546875" style="1" customWidth="1"/>
    <col min="4093" max="4093" width="10.42578125" style="1" customWidth="1"/>
    <col min="4094" max="4094" width="7.42578125" style="1" bestFit="1" customWidth="1"/>
    <col min="4095" max="4095" width="10.42578125" style="1" customWidth="1"/>
    <col min="4096" max="4096" width="10.85546875" style="1" bestFit="1" customWidth="1"/>
    <col min="4097" max="4100" width="7" style="1" customWidth="1"/>
    <col min="4101" max="4101" width="6" style="1" bestFit="1" customWidth="1"/>
    <col min="4102" max="4102" width="10.42578125" style="1" customWidth="1"/>
    <col min="4103" max="4103" width="7.42578125" style="1" bestFit="1" customWidth="1"/>
    <col min="4104" max="4104" width="10.42578125" style="1" customWidth="1"/>
    <col min="4105" max="4105" width="12" style="1" customWidth="1"/>
    <col min="4106" max="4106" width="8.85546875" style="1" customWidth="1"/>
    <col min="4107" max="4107" width="14" style="1" customWidth="1"/>
    <col min="4108" max="4340" width="9.140625" style="1"/>
    <col min="4341" max="4341" width="33.85546875" style="1" bestFit="1" customWidth="1"/>
    <col min="4342" max="4342" width="6.42578125" style="1" bestFit="1" customWidth="1"/>
    <col min="4343" max="4343" width="10.85546875" style="1" bestFit="1" customWidth="1"/>
    <col min="4344" max="4347" width="7" style="1" customWidth="1"/>
    <col min="4348" max="4348" width="6.85546875" style="1" customWidth="1"/>
    <col min="4349" max="4349" width="10.42578125" style="1" customWidth="1"/>
    <col min="4350" max="4350" width="7.42578125" style="1" bestFit="1" customWidth="1"/>
    <col min="4351" max="4351" width="10.42578125" style="1" customWidth="1"/>
    <col min="4352" max="4352" width="10.85546875" style="1" bestFit="1" customWidth="1"/>
    <col min="4353" max="4356" width="7" style="1" customWidth="1"/>
    <col min="4357" max="4357" width="6" style="1" bestFit="1" customWidth="1"/>
    <col min="4358" max="4358" width="10.42578125" style="1" customWidth="1"/>
    <col min="4359" max="4359" width="7.42578125" style="1" bestFit="1" customWidth="1"/>
    <col min="4360" max="4360" width="10.42578125" style="1" customWidth="1"/>
    <col min="4361" max="4361" width="12" style="1" customWidth="1"/>
    <col min="4362" max="4362" width="8.85546875" style="1" customWidth="1"/>
    <col min="4363" max="4363" width="14" style="1" customWidth="1"/>
    <col min="4364" max="4596" width="9.140625" style="1"/>
    <col min="4597" max="4597" width="33.85546875" style="1" bestFit="1" customWidth="1"/>
    <col min="4598" max="4598" width="6.42578125" style="1" bestFit="1" customWidth="1"/>
    <col min="4599" max="4599" width="10.85546875" style="1" bestFit="1" customWidth="1"/>
    <col min="4600" max="4603" width="7" style="1" customWidth="1"/>
    <col min="4604" max="4604" width="6.85546875" style="1" customWidth="1"/>
    <col min="4605" max="4605" width="10.42578125" style="1" customWidth="1"/>
    <col min="4606" max="4606" width="7.42578125" style="1" bestFit="1" customWidth="1"/>
    <col min="4607" max="4607" width="10.42578125" style="1" customWidth="1"/>
    <col min="4608" max="4608" width="10.85546875" style="1" bestFit="1" customWidth="1"/>
    <col min="4609" max="4612" width="7" style="1" customWidth="1"/>
    <col min="4613" max="4613" width="6" style="1" bestFit="1" customWidth="1"/>
    <col min="4614" max="4614" width="10.42578125" style="1" customWidth="1"/>
    <col min="4615" max="4615" width="7.42578125" style="1" bestFit="1" customWidth="1"/>
    <col min="4616" max="4616" width="10.42578125" style="1" customWidth="1"/>
    <col min="4617" max="4617" width="12" style="1" customWidth="1"/>
    <col min="4618" max="4618" width="8.85546875" style="1" customWidth="1"/>
    <col min="4619" max="4619" width="14" style="1" customWidth="1"/>
    <col min="4620" max="4852" width="9.140625" style="1"/>
    <col min="4853" max="4853" width="33.85546875" style="1" bestFit="1" customWidth="1"/>
    <col min="4854" max="4854" width="6.42578125" style="1" bestFit="1" customWidth="1"/>
    <col min="4855" max="4855" width="10.85546875" style="1" bestFit="1" customWidth="1"/>
    <col min="4856" max="4859" width="7" style="1" customWidth="1"/>
    <col min="4860" max="4860" width="6.85546875" style="1" customWidth="1"/>
    <col min="4861" max="4861" width="10.42578125" style="1" customWidth="1"/>
    <col min="4862" max="4862" width="7.42578125" style="1" bestFit="1" customWidth="1"/>
    <col min="4863" max="4863" width="10.42578125" style="1" customWidth="1"/>
    <col min="4864" max="4864" width="10.85546875" style="1" bestFit="1" customWidth="1"/>
    <col min="4865" max="4868" width="7" style="1" customWidth="1"/>
    <col min="4869" max="4869" width="6" style="1" bestFit="1" customWidth="1"/>
    <col min="4870" max="4870" width="10.42578125" style="1" customWidth="1"/>
    <col min="4871" max="4871" width="7.42578125" style="1" bestFit="1" customWidth="1"/>
    <col min="4872" max="4872" width="10.42578125" style="1" customWidth="1"/>
    <col min="4873" max="4873" width="12" style="1" customWidth="1"/>
    <col min="4874" max="4874" width="8.85546875" style="1" customWidth="1"/>
    <col min="4875" max="4875" width="14" style="1" customWidth="1"/>
    <col min="4876" max="5108" width="9.140625" style="1"/>
    <col min="5109" max="5109" width="33.85546875" style="1" bestFit="1" customWidth="1"/>
    <col min="5110" max="5110" width="6.42578125" style="1" bestFit="1" customWidth="1"/>
    <col min="5111" max="5111" width="10.85546875" style="1" bestFit="1" customWidth="1"/>
    <col min="5112" max="5115" width="7" style="1" customWidth="1"/>
    <col min="5116" max="5116" width="6.85546875" style="1" customWidth="1"/>
    <col min="5117" max="5117" width="10.42578125" style="1" customWidth="1"/>
    <col min="5118" max="5118" width="7.42578125" style="1" bestFit="1" customWidth="1"/>
    <col min="5119" max="5119" width="10.42578125" style="1" customWidth="1"/>
    <col min="5120" max="5120" width="10.85546875" style="1" bestFit="1" customWidth="1"/>
    <col min="5121" max="5124" width="7" style="1" customWidth="1"/>
    <col min="5125" max="5125" width="6" style="1" bestFit="1" customWidth="1"/>
    <col min="5126" max="5126" width="10.42578125" style="1" customWidth="1"/>
    <col min="5127" max="5127" width="7.42578125" style="1" bestFit="1" customWidth="1"/>
    <col min="5128" max="5128" width="10.42578125" style="1" customWidth="1"/>
    <col min="5129" max="5129" width="12" style="1" customWidth="1"/>
    <col min="5130" max="5130" width="8.85546875" style="1" customWidth="1"/>
    <col min="5131" max="5131" width="14" style="1" customWidth="1"/>
    <col min="5132" max="5364" width="9.140625" style="1"/>
    <col min="5365" max="5365" width="33.85546875" style="1" bestFit="1" customWidth="1"/>
    <col min="5366" max="5366" width="6.42578125" style="1" bestFit="1" customWidth="1"/>
    <col min="5367" max="5367" width="10.85546875" style="1" bestFit="1" customWidth="1"/>
    <col min="5368" max="5371" width="7" style="1" customWidth="1"/>
    <col min="5372" max="5372" width="6.85546875" style="1" customWidth="1"/>
    <col min="5373" max="5373" width="10.42578125" style="1" customWidth="1"/>
    <col min="5374" max="5374" width="7.42578125" style="1" bestFit="1" customWidth="1"/>
    <col min="5375" max="5375" width="10.42578125" style="1" customWidth="1"/>
    <col min="5376" max="5376" width="10.85546875" style="1" bestFit="1" customWidth="1"/>
    <col min="5377" max="5380" width="7" style="1" customWidth="1"/>
    <col min="5381" max="5381" width="6" style="1" bestFit="1" customWidth="1"/>
    <col min="5382" max="5382" width="10.42578125" style="1" customWidth="1"/>
    <col min="5383" max="5383" width="7.42578125" style="1" bestFit="1" customWidth="1"/>
    <col min="5384" max="5384" width="10.42578125" style="1" customWidth="1"/>
    <col min="5385" max="5385" width="12" style="1" customWidth="1"/>
    <col min="5386" max="5386" width="8.85546875" style="1" customWidth="1"/>
    <col min="5387" max="5387" width="14" style="1" customWidth="1"/>
    <col min="5388" max="5620" width="9.140625" style="1"/>
    <col min="5621" max="5621" width="33.85546875" style="1" bestFit="1" customWidth="1"/>
    <col min="5622" max="5622" width="6.42578125" style="1" bestFit="1" customWidth="1"/>
    <col min="5623" max="5623" width="10.85546875" style="1" bestFit="1" customWidth="1"/>
    <col min="5624" max="5627" width="7" style="1" customWidth="1"/>
    <col min="5628" max="5628" width="6.85546875" style="1" customWidth="1"/>
    <col min="5629" max="5629" width="10.42578125" style="1" customWidth="1"/>
    <col min="5630" max="5630" width="7.42578125" style="1" bestFit="1" customWidth="1"/>
    <col min="5631" max="5631" width="10.42578125" style="1" customWidth="1"/>
    <col min="5632" max="5632" width="10.85546875" style="1" bestFit="1" customWidth="1"/>
    <col min="5633" max="5636" width="7" style="1" customWidth="1"/>
    <col min="5637" max="5637" width="6" style="1" bestFit="1" customWidth="1"/>
    <col min="5638" max="5638" width="10.42578125" style="1" customWidth="1"/>
    <col min="5639" max="5639" width="7.42578125" style="1" bestFit="1" customWidth="1"/>
    <col min="5640" max="5640" width="10.42578125" style="1" customWidth="1"/>
    <col min="5641" max="5641" width="12" style="1" customWidth="1"/>
    <col min="5642" max="5642" width="8.85546875" style="1" customWidth="1"/>
    <col min="5643" max="5643" width="14" style="1" customWidth="1"/>
    <col min="5644" max="5876" width="9.140625" style="1"/>
    <col min="5877" max="5877" width="33.85546875" style="1" bestFit="1" customWidth="1"/>
    <col min="5878" max="5878" width="6.42578125" style="1" bestFit="1" customWidth="1"/>
    <col min="5879" max="5879" width="10.85546875" style="1" bestFit="1" customWidth="1"/>
    <col min="5880" max="5883" width="7" style="1" customWidth="1"/>
    <col min="5884" max="5884" width="6.85546875" style="1" customWidth="1"/>
    <col min="5885" max="5885" width="10.42578125" style="1" customWidth="1"/>
    <col min="5886" max="5886" width="7.42578125" style="1" bestFit="1" customWidth="1"/>
    <col min="5887" max="5887" width="10.42578125" style="1" customWidth="1"/>
    <col min="5888" max="5888" width="10.85546875" style="1" bestFit="1" customWidth="1"/>
    <col min="5889" max="5892" width="7" style="1" customWidth="1"/>
    <col min="5893" max="5893" width="6" style="1" bestFit="1" customWidth="1"/>
    <col min="5894" max="5894" width="10.42578125" style="1" customWidth="1"/>
    <col min="5895" max="5895" width="7.42578125" style="1" bestFit="1" customWidth="1"/>
    <col min="5896" max="5896" width="10.42578125" style="1" customWidth="1"/>
    <col min="5897" max="5897" width="12" style="1" customWidth="1"/>
    <col min="5898" max="5898" width="8.85546875" style="1" customWidth="1"/>
    <col min="5899" max="5899" width="14" style="1" customWidth="1"/>
    <col min="5900" max="6132" width="9.140625" style="1"/>
    <col min="6133" max="6133" width="33.85546875" style="1" bestFit="1" customWidth="1"/>
    <col min="6134" max="6134" width="6.42578125" style="1" bestFit="1" customWidth="1"/>
    <col min="6135" max="6135" width="10.85546875" style="1" bestFit="1" customWidth="1"/>
    <col min="6136" max="6139" width="7" style="1" customWidth="1"/>
    <col min="6140" max="6140" width="6.85546875" style="1" customWidth="1"/>
    <col min="6141" max="6141" width="10.42578125" style="1" customWidth="1"/>
    <col min="6142" max="6142" width="7.42578125" style="1" bestFit="1" customWidth="1"/>
    <col min="6143" max="6143" width="10.42578125" style="1" customWidth="1"/>
    <col min="6144" max="6144" width="10.85546875" style="1" bestFit="1" customWidth="1"/>
    <col min="6145" max="6148" width="7" style="1" customWidth="1"/>
    <col min="6149" max="6149" width="6" style="1" bestFit="1" customWidth="1"/>
    <col min="6150" max="6150" width="10.42578125" style="1" customWidth="1"/>
    <col min="6151" max="6151" width="7.42578125" style="1" bestFit="1" customWidth="1"/>
    <col min="6152" max="6152" width="10.42578125" style="1" customWidth="1"/>
    <col min="6153" max="6153" width="12" style="1" customWidth="1"/>
    <col min="6154" max="6154" width="8.85546875" style="1" customWidth="1"/>
    <col min="6155" max="6155" width="14" style="1" customWidth="1"/>
    <col min="6156" max="6388" width="9.140625" style="1"/>
    <col min="6389" max="6389" width="33.85546875" style="1" bestFit="1" customWidth="1"/>
    <col min="6390" max="6390" width="6.42578125" style="1" bestFit="1" customWidth="1"/>
    <col min="6391" max="6391" width="10.85546875" style="1" bestFit="1" customWidth="1"/>
    <col min="6392" max="6395" width="7" style="1" customWidth="1"/>
    <col min="6396" max="6396" width="6.85546875" style="1" customWidth="1"/>
    <col min="6397" max="6397" width="10.42578125" style="1" customWidth="1"/>
    <col min="6398" max="6398" width="7.42578125" style="1" bestFit="1" customWidth="1"/>
    <col min="6399" max="6399" width="10.42578125" style="1" customWidth="1"/>
    <col min="6400" max="6400" width="10.85546875" style="1" bestFit="1" customWidth="1"/>
    <col min="6401" max="6404" width="7" style="1" customWidth="1"/>
    <col min="6405" max="6405" width="6" style="1" bestFit="1" customWidth="1"/>
    <col min="6406" max="6406" width="10.42578125" style="1" customWidth="1"/>
    <col min="6407" max="6407" width="7.42578125" style="1" bestFit="1" customWidth="1"/>
    <col min="6408" max="6408" width="10.42578125" style="1" customWidth="1"/>
    <col min="6409" max="6409" width="12" style="1" customWidth="1"/>
    <col min="6410" max="6410" width="8.85546875" style="1" customWidth="1"/>
    <col min="6411" max="6411" width="14" style="1" customWidth="1"/>
    <col min="6412" max="6644" width="9.140625" style="1"/>
    <col min="6645" max="6645" width="33.85546875" style="1" bestFit="1" customWidth="1"/>
    <col min="6646" max="6646" width="6.42578125" style="1" bestFit="1" customWidth="1"/>
    <col min="6647" max="6647" width="10.85546875" style="1" bestFit="1" customWidth="1"/>
    <col min="6648" max="6651" width="7" style="1" customWidth="1"/>
    <col min="6652" max="6652" width="6.85546875" style="1" customWidth="1"/>
    <col min="6653" max="6653" width="10.42578125" style="1" customWidth="1"/>
    <col min="6654" max="6654" width="7.42578125" style="1" bestFit="1" customWidth="1"/>
    <col min="6655" max="6655" width="10.42578125" style="1" customWidth="1"/>
    <col min="6656" max="6656" width="10.85546875" style="1" bestFit="1" customWidth="1"/>
    <col min="6657" max="6660" width="7" style="1" customWidth="1"/>
    <col min="6661" max="6661" width="6" style="1" bestFit="1" customWidth="1"/>
    <col min="6662" max="6662" width="10.42578125" style="1" customWidth="1"/>
    <col min="6663" max="6663" width="7.42578125" style="1" bestFit="1" customWidth="1"/>
    <col min="6664" max="6664" width="10.42578125" style="1" customWidth="1"/>
    <col min="6665" max="6665" width="12" style="1" customWidth="1"/>
    <col min="6666" max="6666" width="8.85546875" style="1" customWidth="1"/>
    <col min="6667" max="6667" width="14" style="1" customWidth="1"/>
    <col min="6668" max="6900" width="9.140625" style="1"/>
    <col min="6901" max="6901" width="33.85546875" style="1" bestFit="1" customWidth="1"/>
    <col min="6902" max="6902" width="6.42578125" style="1" bestFit="1" customWidth="1"/>
    <col min="6903" max="6903" width="10.85546875" style="1" bestFit="1" customWidth="1"/>
    <col min="6904" max="6907" width="7" style="1" customWidth="1"/>
    <col min="6908" max="6908" width="6.85546875" style="1" customWidth="1"/>
    <col min="6909" max="6909" width="10.42578125" style="1" customWidth="1"/>
    <col min="6910" max="6910" width="7.42578125" style="1" bestFit="1" customWidth="1"/>
    <col min="6911" max="6911" width="10.42578125" style="1" customWidth="1"/>
    <col min="6912" max="6912" width="10.85546875" style="1" bestFit="1" customWidth="1"/>
    <col min="6913" max="6916" width="7" style="1" customWidth="1"/>
    <col min="6917" max="6917" width="6" style="1" bestFit="1" customWidth="1"/>
    <col min="6918" max="6918" width="10.42578125" style="1" customWidth="1"/>
    <col min="6919" max="6919" width="7.42578125" style="1" bestFit="1" customWidth="1"/>
    <col min="6920" max="6920" width="10.42578125" style="1" customWidth="1"/>
    <col min="6921" max="6921" width="12" style="1" customWidth="1"/>
    <col min="6922" max="6922" width="8.85546875" style="1" customWidth="1"/>
    <col min="6923" max="6923" width="14" style="1" customWidth="1"/>
    <col min="6924" max="7156" width="9.140625" style="1"/>
    <col min="7157" max="7157" width="33.85546875" style="1" bestFit="1" customWidth="1"/>
    <col min="7158" max="7158" width="6.42578125" style="1" bestFit="1" customWidth="1"/>
    <col min="7159" max="7159" width="10.85546875" style="1" bestFit="1" customWidth="1"/>
    <col min="7160" max="7163" width="7" style="1" customWidth="1"/>
    <col min="7164" max="7164" width="6.85546875" style="1" customWidth="1"/>
    <col min="7165" max="7165" width="10.42578125" style="1" customWidth="1"/>
    <col min="7166" max="7166" width="7.42578125" style="1" bestFit="1" customWidth="1"/>
    <col min="7167" max="7167" width="10.42578125" style="1" customWidth="1"/>
    <col min="7168" max="7168" width="10.85546875" style="1" bestFit="1" customWidth="1"/>
    <col min="7169" max="7172" width="7" style="1" customWidth="1"/>
    <col min="7173" max="7173" width="6" style="1" bestFit="1" customWidth="1"/>
    <col min="7174" max="7174" width="10.42578125" style="1" customWidth="1"/>
    <col min="7175" max="7175" width="7.42578125" style="1" bestFit="1" customWidth="1"/>
    <col min="7176" max="7176" width="10.42578125" style="1" customWidth="1"/>
    <col min="7177" max="7177" width="12" style="1" customWidth="1"/>
    <col min="7178" max="7178" width="8.85546875" style="1" customWidth="1"/>
    <col min="7179" max="7179" width="14" style="1" customWidth="1"/>
    <col min="7180" max="7412" width="9.140625" style="1"/>
    <col min="7413" max="7413" width="33.85546875" style="1" bestFit="1" customWidth="1"/>
    <col min="7414" max="7414" width="6.42578125" style="1" bestFit="1" customWidth="1"/>
    <col min="7415" max="7415" width="10.85546875" style="1" bestFit="1" customWidth="1"/>
    <col min="7416" max="7419" width="7" style="1" customWidth="1"/>
    <col min="7420" max="7420" width="6.85546875" style="1" customWidth="1"/>
    <col min="7421" max="7421" width="10.42578125" style="1" customWidth="1"/>
    <col min="7422" max="7422" width="7.42578125" style="1" bestFit="1" customWidth="1"/>
    <col min="7423" max="7423" width="10.42578125" style="1" customWidth="1"/>
    <col min="7424" max="7424" width="10.85546875" style="1" bestFit="1" customWidth="1"/>
    <col min="7425" max="7428" width="7" style="1" customWidth="1"/>
    <col min="7429" max="7429" width="6" style="1" bestFit="1" customWidth="1"/>
    <col min="7430" max="7430" width="10.42578125" style="1" customWidth="1"/>
    <col min="7431" max="7431" width="7.42578125" style="1" bestFit="1" customWidth="1"/>
    <col min="7432" max="7432" width="10.42578125" style="1" customWidth="1"/>
    <col min="7433" max="7433" width="12" style="1" customWidth="1"/>
    <col min="7434" max="7434" width="8.85546875" style="1" customWidth="1"/>
    <col min="7435" max="7435" width="14" style="1" customWidth="1"/>
    <col min="7436" max="7668" width="9.140625" style="1"/>
    <col min="7669" max="7669" width="33.85546875" style="1" bestFit="1" customWidth="1"/>
    <col min="7670" max="7670" width="6.42578125" style="1" bestFit="1" customWidth="1"/>
    <col min="7671" max="7671" width="10.85546875" style="1" bestFit="1" customWidth="1"/>
    <col min="7672" max="7675" width="7" style="1" customWidth="1"/>
    <col min="7676" max="7676" width="6.85546875" style="1" customWidth="1"/>
    <col min="7677" max="7677" width="10.42578125" style="1" customWidth="1"/>
    <col min="7678" max="7678" width="7.42578125" style="1" bestFit="1" customWidth="1"/>
    <col min="7679" max="7679" width="10.42578125" style="1" customWidth="1"/>
    <col min="7680" max="7680" width="10.85546875" style="1" bestFit="1" customWidth="1"/>
    <col min="7681" max="7684" width="7" style="1" customWidth="1"/>
    <col min="7685" max="7685" width="6" style="1" bestFit="1" customWidth="1"/>
    <col min="7686" max="7686" width="10.42578125" style="1" customWidth="1"/>
    <col min="7687" max="7687" width="7.42578125" style="1" bestFit="1" customWidth="1"/>
    <col min="7688" max="7688" width="10.42578125" style="1" customWidth="1"/>
    <col min="7689" max="7689" width="12" style="1" customWidth="1"/>
    <col min="7690" max="7690" width="8.85546875" style="1" customWidth="1"/>
    <col min="7691" max="7691" width="14" style="1" customWidth="1"/>
    <col min="7692" max="7924" width="9.140625" style="1"/>
    <col min="7925" max="7925" width="33.85546875" style="1" bestFit="1" customWidth="1"/>
    <col min="7926" max="7926" width="6.42578125" style="1" bestFit="1" customWidth="1"/>
    <col min="7927" max="7927" width="10.85546875" style="1" bestFit="1" customWidth="1"/>
    <col min="7928" max="7931" width="7" style="1" customWidth="1"/>
    <col min="7932" max="7932" width="6.85546875" style="1" customWidth="1"/>
    <col min="7933" max="7933" width="10.42578125" style="1" customWidth="1"/>
    <col min="7934" max="7934" width="7.42578125" style="1" bestFit="1" customWidth="1"/>
    <col min="7935" max="7935" width="10.42578125" style="1" customWidth="1"/>
    <col min="7936" max="7936" width="10.85546875" style="1" bestFit="1" customWidth="1"/>
    <col min="7937" max="7940" width="7" style="1" customWidth="1"/>
    <col min="7941" max="7941" width="6" style="1" bestFit="1" customWidth="1"/>
    <col min="7942" max="7942" width="10.42578125" style="1" customWidth="1"/>
    <col min="7943" max="7943" width="7.42578125" style="1" bestFit="1" customWidth="1"/>
    <col min="7944" max="7944" width="10.42578125" style="1" customWidth="1"/>
    <col min="7945" max="7945" width="12" style="1" customWidth="1"/>
    <col min="7946" max="7946" width="8.85546875" style="1" customWidth="1"/>
    <col min="7947" max="7947" width="14" style="1" customWidth="1"/>
    <col min="7948" max="8180" width="9.140625" style="1"/>
    <col min="8181" max="8181" width="33.85546875" style="1" bestFit="1" customWidth="1"/>
    <col min="8182" max="8182" width="6.42578125" style="1" bestFit="1" customWidth="1"/>
    <col min="8183" max="8183" width="10.85546875" style="1" bestFit="1" customWidth="1"/>
    <col min="8184" max="8187" width="7" style="1" customWidth="1"/>
    <col min="8188" max="8188" width="6.85546875" style="1" customWidth="1"/>
    <col min="8189" max="8189" width="10.42578125" style="1" customWidth="1"/>
    <col min="8190" max="8190" width="7.42578125" style="1" bestFit="1" customWidth="1"/>
    <col min="8191" max="8191" width="10.42578125" style="1" customWidth="1"/>
    <col min="8192" max="8192" width="10.85546875" style="1" bestFit="1" customWidth="1"/>
    <col min="8193" max="8196" width="7" style="1" customWidth="1"/>
    <col min="8197" max="8197" width="6" style="1" bestFit="1" customWidth="1"/>
    <col min="8198" max="8198" width="10.42578125" style="1" customWidth="1"/>
    <col min="8199" max="8199" width="7.42578125" style="1" bestFit="1" customWidth="1"/>
    <col min="8200" max="8200" width="10.42578125" style="1" customWidth="1"/>
    <col min="8201" max="8201" width="12" style="1" customWidth="1"/>
    <col min="8202" max="8202" width="8.85546875" style="1" customWidth="1"/>
    <col min="8203" max="8203" width="14" style="1" customWidth="1"/>
    <col min="8204" max="8436" width="9.140625" style="1"/>
    <col min="8437" max="8437" width="33.85546875" style="1" bestFit="1" customWidth="1"/>
    <col min="8438" max="8438" width="6.42578125" style="1" bestFit="1" customWidth="1"/>
    <col min="8439" max="8439" width="10.85546875" style="1" bestFit="1" customWidth="1"/>
    <col min="8440" max="8443" width="7" style="1" customWidth="1"/>
    <col min="8444" max="8444" width="6.85546875" style="1" customWidth="1"/>
    <col min="8445" max="8445" width="10.42578125" style="1" customWidth="1"/>
    <col min="8446" max="8446" width="7.42578125" style="1" bestFit="1" customWidth="1"/>
    <col min="8447" max="8447" width="10.42578125" style="1" customWidth="1"/>
    <col min="8448" max="8448" width="10.85546875" style="1" bestFit="1" customWidth="1"/>
    <col min="8449" max="8452" width="7" style="1" customWidth="1"/>
    <col min="8453" max="8453" width="6" style="1" bestFit="1" customWidth="1"/>
    <col min="8454" max="8454" width="10.42578125" style="1" customWidth="1"/>
    <col min="8455" max="8455" width="7.42578125" style="1" bestFit="1" customWidth="1"/>
    <col min="8456" max="8456" width="10.42578125" style="1" customWidth="1"/>
    <col min="8457" max="8457" width="12" style="1" customWidth="1"/>
    <col min="8458" max="8458" width="8.85546875" style="1" customWidth="1"/>
    <col min="8459" max="8459" width="14" style="1" customWidth="1"/>
    <col min="8460" max="8692" width="9.140625" style="1"/>
    <col min="8693" max="8693" width="33.85546875" style="1" bestFit="1" customWidth="1"/>
    <col min="8694" max="8694" width="6.42578125" style="1" bestFit="1" customWidth="1"/>
    <col min="8695" max="8695" width="10.85546875" style="1" bestFit="1" customWidth="1"/>
    <col min="8696" max="8699" width="7" style="1" customWidth="1"/>
    <col min="8700" max="8700" width="6.85546875" style="1" customWidth="1"/>
    <col min="8701" max="8701" width="10.42578125" style="1" customWidth="1"/>
    <col min="8702" max="8702" width="7.42578125" style="1" bestFit="1" customWidth="1"/>
    <col min="8703" max="8703" width="10.42578125" style="1" customWidth="1"/>
    <col min="8704" max="8704" width="10.85546875" style="1" bestFit="1" customWidth="1"/>
    <col min="8705" max="8708" width="7" style="1" customWidth="1"/>
    <col min="8709" max="8709" width="6" style="1" bestFit="1" customWidth="1"/>
    <col min="8710" max="8710" width="10.42578125" style="1" customWidth="1"/>
    <col min="8711" max="8711" width="7.42578125" style="1" bestFit="1" customWidth="1"/>
    <col min="8712" max="8712" width="10.42578125" style="1" customWidth="1"/>
    <col min="8713" max="8713" width="12" style="1" customWidth="1"/>
    <col min="8714" max="8714" width="8.85546875" style="1" customWidth="1"/>
    <col min="8715" max="8715" width="14" style="1" customWidth="1"/>
    <col min="8716" max="8948" width="9.140625" style="1"/>
    <col min="8949" max="8949" width="33.85546875" style="1" bestFit="1" customWidth="1"/>
    <col min="8950" max="8950" width="6.42578125" style="1" bestFit="1" customWidth="1"/>
    <col min="8951" max="8951" width="10.85546875" style="1" bestFit="1" customWidth="1"/>
    <col min="8952" max="8955" width="7" style="1" customWidth="1"/>
    <col min="8956" max="8956" width="6.85546875" style="1" customWidth="1"/>
    <col min="8957" max="8957" width="10.42578125" style="1" customWidth="1"/>
    <col min="8958" max="8958" width="7.42578125" style="1" bestFit="1" customWidth="1"/>
    <col min="8959" max="8959" width="10.42578125" style="1" customWidth="1"/>
    <col min="8960" max="8960" width="10.85546875" style="1" bestFit="1" customWidth="1"/>
    <col min="8961" max="8964" width="7" style="1" customWidth="1"/>
    <col min="8965" max="8965" width="6" style="1" bestFit="1" customWidth="1"/>
    <col min="8966" max="8966" width="10.42578125" style="1" customWidth="1"/>
    <col min="8967" max="8967" width="7.42578125" style="1" bestFit="1" customWidth="1"/>
    <col min="8968" max="8968" width="10.42578125" style="1" customWidth="1"/>
    <col min="8969" max="8969" width="12" style="1" customWidth="1"/>
    <col min="8970" max="8970" width="8.85546875" style="1" customWidth="1"/>
    <col min="8971" max="8971" width="14" style="1" customWidth="1"/>
    <col min="8972" max="9204" width="9.140625" style="1"/>
    <col min="9205" max="9205" width="33.85546875" style="1" bestFit="1" customWidth="1"/>
    <col min="9206" max="9206" width="6.42578125" style="1" bestFit="1" customWidth="1"/>
    <col min="9207" max="9207" width="10.85546875" style="1" bestFit="1" customWidth="1"/>
    <col min="9208" max="9211" width="7" style="1" customWidth="1"/>
    <col min="9212" max="9212" width="6.85546875" style="1" customWidth="1"/>
    <col min="9213" max="9213" width="10.42578125" style="1" customWidth="1"/>
    <col min="9214" max="9214" width="7.42578125" style="1" bestFit="1" customWidth="1"/>
    <col min="9215" max="9215" width="10.42578125" style="1" customWidth="1"/>
    <col min="9216" max="9216" width="10.85546875" style="1" bestFit="1" customWidth="1"/>
    <col min="9217" max="9220" width="7" style="1" customWidth="1"/>
    <col min="9221" max="9221" width="6" style="1" bestFit="1" customWidth="1"/>
    <col min="9222" max="9222" width="10.42578125" style="1" customWidth="1"/>
    <col min="9223" max="9223" width="7.42578125" style="1" bestFit="1" customWidth="1"/>
    <col min="9224" max="9224" width="10.42578125" style="1" customWidth="1"/>
    <col min="9225" max="9225" width="12" style="1" customWidth="1"/>
    <col min="9226" max="9226" width="8.85546875" style="1" customWidth="1"/>
    <col min="9227" max="9227" width="14" style="1" customWidth="1"/>
    <col min="9228" max="9460" width="9.140625" style="1"/>
    <col min="9461" max="9461" width="33.85546875" style="1" bestFit="1" customWidth="1"/>
    <col min="9462" max="9462" width="6.42578125" style="1" bestFit="1" customWidth="1"/>
    <col min="9463" max="9463" width="10.85546875" style="1" bestFit="1" customWidth="1"/>
    <col min="9464" max="9467" width="7" style="1" customWidth="1"/>
    <col min="9468" max="9468" width="6.85546875" style="1" customWidth="1"/>
    <col min="9469" max="9469" width="10.42578125" style="1" customWidth="1"/>
    <col min="9470" max="9470" width="7.42578125" style="1" bestFit="1" customWidth="1"/>
    <col min="9471" max="9471" width="10.42578125" style="1" customWidth="1"/>
    <col min="9472" max="9472" width="10.85546875" style="1" bestFit="1" customWidth="1"/>
    <col min="9473" max="9476" width="7" style="1" customWidth="1"/>
    <col min="9477" max="9477" width="6" style="1" bestFit="1" customWidth="1"/>
    <col min="9478" max="9478" width="10.42578125" style="1" customWidth="1"/>
    <col min="9479" max="9479" width="7.42578125" style="1" bestFit="1" customWidth="1"/>
    <col min="9480" max="9480" width="10.42578125" style="1" customWidth="1"/>
    <col min="9481" max="9481" width="12" style="1" customWidth="1"/>
    <col min="9482" max="9482" width="8.85546875" style="1" customWidth="1"/>
    <col min="9483" max="9483" width="14" style="1" customWidth="1"/>
    <col min="9484" max="9716" width="9.140625" style="1"/>
    <col min="9717" max="9717" width="33.85546875" style="1" bestFit="1" customWidth="1"/>
    <col min="9718" max="9718" width="6.42578125" style="1" bestFit="1" customWidth="1"/>
    <col min="9719" max="9719" width="10.85546875" style="1" bestFit="1" customWidth="1"/>
    <col min="9720" max="9723" width="7" style="1" customWidth="1"/>
    <col min="9724" max="9724" width="6.85546875" style="1" customWidth="1"/>
    <col min="9725" max="9725" width="10.42578125" style="1" customWidth="1"/>
    <col min="9726" max="9726" width="7.42578125" style="1" bestFit="1" customWidth="1"/>
    <col min="9727" max="9727" width="10.42578125" style="1" customWidth="1"/>
    <col min="9728" max="9728" width="10.85546875" style="1" bestFit="1" customWidth="1"/>
    <col min="9729" max="9732" width="7" style="1" customWidth="1"/>
    <col min="9733" max="9733" width="6" style="1" bestFit="1" customWidth="1"/>
    <col min="9734" max="9734" width="10.42578125" style="1" customWidth="1"/>
    <col min="9735" max="9735" width="7.42578125" style="1" bestFit="1" customWidth="1"/>
    <col min="9736" max="9736" width="10.42578125" style="1" customWidth="1"/>
    <col min="9737" max="9737" width="12" style="1" customWidth="1"/>
    <col min="9738" max="9738" width="8.85546875" style="1" customWidth="1"/>
    <col min="9739" max="9739" width="14" style="1" customWidth="1"/>
    <col min="9740" max="9972" width="9.140625" style="1"/>
    <col min="9973" max="9973" width="33.85546875" style="1" bestFit="1" customWidth="1"/>
    <col min="9974" max="9974" width="6.42578125" style="1" bestFit="1" customWidth="1"/>
    <col min="9975" max="9975" width="10.85546875" style="1" bestFit="1" customWidth="1"/>
    <col min="9976" max="9979" width="7" style="1" customWidth="1"/>
    <col min="9980" max="9980" width="6.85546875" style="1" customWidth="1"/>
    <col min="9981" max="9981" width="10.42578125" style="1" customWidth="1"/>
    <col min="9982" max="9982" width="7.42578125" style="1" bestFit="1" customWidth="1"/>
    <col min="9983" max="9983" width="10.42578125" style="1" customWidth="1"/>
    <col min="9984" max="9984" width="10.85546875" style="1" bestFit="1" customWidth="1"/>
    <col min="9985" max="9988" width="7" style="1" customWidth="1"/>
    <col min="9989" max="9989" width="6" style="1" bestFit="1" customWidth="1"/>
    <col min="9990" max="9990" width="10.42578125" style="1" customWidth="1"/>
    <col min="9991" max="9991" width="7.42578125" style="1" bestFit="1" customWidth="1"/>
    <col min="9992" max="9992" width="10.42578125" style="1" customWidth="1"/>
    <col min="9993" max="9993" width="12" style="1" customWidth="1"/>
    <col min="9994" max="9994" width="8.85546875" style="1" customWidth="1"/>
    <col min="9995" max="9995" width="14" style="1" customWidth="1"/>
    <col min="9996" max="10228" width="9.140625" style="1"/>
    <col min="10229" max="10229" width="33.85546875" style="1" bestFit="1" customWidth="1"/>
    <col min="10230" max="10230" width="6.42578125" style="1" bestFit="1" customWidth="1"/>
    <col min="10231" max="10231" width="10.85546875" style="1" bestFit="1" customWidth="1"/>
    <col min="10232" max="10235" width="7" style="1" customWidth="1"/>
    <col min="10236" max="10236" width="6.85546875" style="1" customWidth="1"/>
    <col min="10237" max="10237" width="10.42578125" style="1" customWidth="1"/>
    <col min="10238" max="10238" width="7.42578125" style="1" bestFit="1" customWidth="1"/>
    <col min="10239" max="10239" width="10.42578125" style="1" customWidth="1"/>
    <col min="10240" max="10240" width="10.85546875" style="1" bestFit="1" customWidth="1"/>
    <col min="10241" max="10244" width="7" style="1" customWidth="1"/>
    <col min="10245" max="10245" width="6" style="1" bestFit="1" customWidth="1"/>
    <col min="10246" max="10246" width="10.42578125" style="1" customWidth="1"/>
    <col min="10247" max="10247" width="7.42578125" style="1" bestFit="1" customWidth="1"/>
    <col min="10248" max="10248" width="10.42578125" style="1" customWidth="1"/>
    <col min="10249" max="10249" width="12" style="1" customWidth="1"/>
    <col min="10250" max="10250" width="8.85546875" style="1" customWidth="1"/>
    <col min="10251" max="10251" width="14" style="1" customWidth="1"/>
    <col min="10252" max="10484" width="9.140625" style="1"/>
    <col min="10485" max="10485" width="33.85546875" style="1" bestFit="1" customWidth="1"/>
    <col min="10486" max="10486" width="6.42578125" style="1" bestFit="1" customWidth="1"/>
    <col min="10487" max="10487" width="10.85546875" style="1" bestFit="1" customWidth="1"/>
    <col min="10488" max="10491" width="7" style="1" customWidth="1"/>
    <col min="10492" max="10492" width="6.85546875" style="1" customWidth="1"/>
    <col min="10493" max="10493" width="10.42578125" style="1" customWidth="1"/>
    <col min="10494" max="10494" width="7.42578125" style="1" bestFit="1" customWidth="1"/>
    <col min="10495" max="10495" width="10.42578125" style="1" customWidth="1"/>
    <col min="10496" max="10496" width="10.85546875" style="1" bestFit="1" customWidth="1"/>
    <col min="10497" max="10500" width="7" style="1" customWidth="1"/>
    <col min="10501" max="10501" width="6" style="1" bestFit="1" customWidth="1"/>
    <col min="10502" max="10502" width="10.42578125" style="1" customWidth="1"/>
    <col min="10503" max="10503" width="7.42578125" style="1" bestFit="1" customWidth="1"/>
    <col min="10504" max="10504" width="10.42578125" style="1" customWidth="1"/>
    <col min="10505" max="10505" width="12" style="1" customWidth="1"/>
    <col min="10506" max="10506" width="8.85546875" style="1" customWidth="1"/>
    <col min="10507" max="10507" width="14" style="1" customWidth="1"/>
    <col min="10508" max="10740" width="9.140625" style="1"/>
    <col min="10741" max="10741" width="33.85546875" style="1" bestFit="1" customWidth="1"/>
    <col min="10742" max="10742" width="6.42578125" style="1" bestFit="1" customWidth="1"/>
    <col min="10743" max="10743" width="10.85546875" style="1" bestFit="1" customWidth="1"/>
    <col min="10744" max="10747" width="7" style="1" customWidth="1"/>
    <col min="10748" max="10748" width="6.85546875" style="1" customWidth="1"/>
    <col min="10749" max="10749" width="10.42578125" style="1" customWidth="1"/>
    <col min="10750" max="10750" width="7.42578125" style="1" bestFit="1" customWidth="1"/>
    <col min="10751" max="10751" width="10.42578125" style="1" customWidth="1"/>
    <col min="10752" max="10752" width="10.85546875" style="1" bestFit="1" customWidth="1"/>
    <col min="10753" max="10756" width="7" style="1" customWidth="1"/>
    <col min="10757" max="10757" width="6" style="1" bestFit="1" customWidth="1"/>
    <col min="10758" max="10758" width="10.42578125" style="1" customWidth="1"/>
    <col min="10759" max="10759" width="7.42578125" style="1" bestFit="1" customWidth="1"/>
    <col min="10760" max="10760" width="10.42578125" style="1" customWidth="1"/>
    <col min="10761" max="10761" width="12" style="1" customWidth="1"/>
    <col min="10762" max="10762" width="8.85546875" style="1" customWidth="1"/>
    <col min="10763" max="10763" width="14" style="1" customWidth="1"/>
    <col min="10764" max="10996" width="9.140625" style="1"/>
    <col min="10997" max="10997" width="33.85546875" style="1" bestFit="1" customWidth="1"/>
    <col min="10998" max="10998" width="6.42578125" style="1" bestFit="1" customWidth="1"/>
    <col min="10999" max="10999" width="10.85546875" style="1" bestFit="1" customWidth="1"/>
    <col min="11000" max="11003" width="7" style="1" customWidth="1"/>
    <col min="11004" max="11004" width="6.85546875" style="1" customWidth="1"/>
    <col min="11005" max="11005" width="10.42578125" style="1" customWidth="1"/>
    <col min="11006" max="11006" width="7.42578125" style="1" bestFit="1" customWidth="1"/>
    <col min="11007" max="11007" width="10.42578125" style="1" customWidth="1"/>
    <col min="11008" max="11008" width="10.85546875" style="1" bestFit="1" customWidth="1"/>
    <col min="11009" max="11012" width="7" style="1" customWidth="1"/>
    <col min="11013" max="11013" width="6" style="1" bestFit="1" customWidth="1"/>
    <col min="11014" max="11014" width="10.42578125" style="1" customWidth="1"/>
    <col min="11015" max="11015" width="7.42578125" style="1" bestFit="1" customWidth="1"/>
    <col min="11016" max="11016" width="10.42578125" style="1" customWidth="1"/>
    <col min="11017" max="11017" width="12" style="1" customWidth="1"/>
    <col min="11018" max="11018" width="8.85546875" style="1" customWidth="1"/>
    <col min="11019" max="11019" width="14" style="1" customWidth="1"/>
    <col min="11020" max="11252" width="9.140625" style="1"/>
    <col min="11253" max="11253" width="33.85546875" style="1" bestFit="1" customWidth="1"/>
    <col min="11254" max="11254" width="6.42578125" style="1" bestFit="1" customWidth="1"/>
    <col min="11255" max="11255" width="10.85546875" style="1" bestFit="1" customWidth="1"/>
    <col min="11256" max="11259" width="7" style="1" customWidth="1"/>
    <col min="11260" max="11260" width="6.85546875" style="1" customWidth="1"/>
    <col min="11261" max="11261" width="10.42578125" style="1" customWidth="1"/>
    <col min="11262" max="11262" width="7.42578125" style="1" bestFit="1" customWidth="1"/>
    <col min="11263" max="11263" width="10.42578125" style="1" customWidth="1"/>
    <col min="11264" max="11264" width="10.85546875" style="1" bestFit="1" customWidth="1"/>
    <col min="11265" max="11268" width="7" style="1" customWidth="1"/>
    <col min="11269" max="11269" width="6" style="1" bestFit="1" customWidth="1"/>
    <col min="11270" max="11270" width="10.42578125" style="1" customWidth="1"/>
    <col min="11271" max="11271" width="7.42578125" style="1" bestFit="1" customWidth="1"/>
    <col min="11272" max="11272" width="10.42578125" style="1" customWidth="1"/>
    <col min="11273" max="11273" width="12" style="1" customWidth="1"/>
    <col min="11274" max="11274" width="8.85546875" style="1" customWidth="1"/>
    <col min="11275" max="11275" width="14" style="1" customWidth="1"/>
    <col min="11276" max="11508" width="9.140625" style="1"/>
    <col min="11509" max="11509" width="33.85546875" style="1" bestFit="1" customWidth="1"/>
    <col min="11510" max="11510" width="6.42578125" style="1" bestFit="1" customWidth="1"/>
    <col min="11511" max="11511" width="10.85546875" style="1" bestFit="1" customWidth="1"/>
    <col min="11512" max="11515" width="7" style="1" customWidth="1"/>
    <col min="11516" max="11516" width="6.85546875" style="1" customWidth="1"/>
    <col min="11517" max="11517" width="10.42578125" style="1" customWidth="1"/>
    <col min="11518" max="11518" width="7.42578125" style="1" bestFit="1" customWidth="1"/>
    <col min="11519" max="11519" width="10.42578125" style="1" customWidth="1"/>
    <col min="11520" max="11520" width="10.85546875" style="1" bestFit="1" customWidth="1"/>
    <col min="11521" max="11524" width="7" style="1" customWidth="1"/>
    <col min="11525" max="11525" width="6" style="1" bestFit="1" customWidth="1"/>
    <col min="11526" max="11526" width="10.42578125" style="1" customWidth="1"/>
    <col min="11527" max="11527" width="7.42578125" style="1" bestFit="1" customWidth="1"/>
    <col min="11528" max="11528" width="10.42578125" style="1" customWidth="1"/>
    <col min="11529" max="11529" width="12" style="1" customWidth="1"/>
    <col min="11530" max="11530" width="8.85546875" style="1" customWidth="1"/>
    <col min="11531" max="11531" width="14" style="1" customWidth="1"/>
    <col min="11532" max="11764" width="9.140625" style="1"/>
    <col min="11765" max="11765" width="33.85546875" style="1" bestFit="1" customWidth="1"/>
    <col min="11766" max="11766" width="6.42578125" style="1" bestFit="1" customWidth="1"/>
    <col min="11767" max="11767" width="10.85546875" style="1" bestFit="1" customWidth="1"/>
    <col min="11768" max="11771" width="7" style="1" customWidth="1"/>
    <col min="11772" max="11772" width="6.85546875" style="1" customWidth="1"/>
    <col min="11773" max="11773" width="10.42578125" style="1" customWidth="1"/>
    <col min="11774" max="11774" width="7.42578125" style="1" bestFit="1" customWidth="1"/>
    <col min="11775" max="11775" width="10.42578125" style="1" customWidth="1"/>
    <col min="11776" max="11776" width="10.85546875" style="1" bestFit="1" customWidth="1"/>
    <col min="11777" max="11780" width="7" style="1" customWidth="1"/>
    <col min="11781" max="11781" width="6" style="1" bestFit="1" customWidth="1"/>
    <col min="11782" max="11782" width="10.42578125" style="1" customWidth="1"/>
    <col min="11783" max="11783" width="7.42578125" style="1" bestFit="1" customWidth="1"/>
    <col min="11784" max="11784" width="10.42578125" style="1" customWidth="1"/>
    <col min="11785" max="11785" width="12" style="1" customWidth="1"/>
    <col min="11786" max="11786" width="8.85546875" style="1" customWidth="1"/>
    <col min="11787" max="11787" width="14" style="1" customWidth="1"/>
    <col min="11788" max="12020" width="9.140625" style="1"/>
    <col min="12021" max="12021" width="33.85546875" style="1" bestFit="1" customWidth="1"/>
    <col min="12022" max="12022" width="6.42578125" style="1" bestFit="1" customWidth="1"/>
    <col min="12023" max="12023" width="10.85546875" style="1" bestFit="1" customWidth="1"/>
    <col min="12024" max="12027" width="7" style="1" customWidth="1"/>
    <col min="12028" max="12028" width="6.85546875" style="1" customWidth="1"/>
    <col min="12029" max="12029" width="10.42578125" style="1" customWidth="1"/>
    <col min="12030" max="12030" width="7.42578125" style="1" bestFit="1" customWidth="1"/>
    <col min="12031" max="12031" width="10.42578125" style="1" customWidth="1"/>
    <col min="12032" max="12032" width="10.85546875" style="1" bestFit="1" customWidth="1"/>
    <col min="12033" max="12036" width="7" style="1" customWidth="1"/>
    <col min="12037" max="12037" width="6" style="1" bestFit="1" customWidth="1"/>
    <col min="12038" max="12038" width="10.42578125" style="1" customWidth="1"/>
    <col min="12039" max="12039" width="7.42578125" style="1" bestFit="1" customWidth="1"/>
    <col min="12040" max="12040" width="10.42578125" style="1" customWidth="1"/>
    <col min="12041" max="12041" width="12" style="1" customWidth="1"/>
    <col min="12042" max="12042" width="8.85546875" style="1" customWidth="1"/>
    <col min="12043" max="12043" width="14" style="1" customWidth="1"/>
    <col min="12044" max="12276" width="9.140625" style="1"/>
    <col min="12277" max="12277" width="33.85546875" style="1" bestFit="1" customWidth="1"/>
    <col min="12278" max="12278" width="6.42578125" style="1" bestFit="1" customWidth="1"/>
    <col min="12279" max="12279" width="10.85546875" style="1" bestFit="1" customWidth="1"/>
    <col min="12280" max="12283" width="7" style="1" customWidth="1"/>
    <col min="12284" max="12284" width="6.85546875" style="1" customWidth="1"/>
    <col min="12285" max="12285" width="10.42578125" style="1" customWidth="1"/>
    <col min="12286" max="12286" width="7.42578125" style="1" bestFit="1" customWidth="1"/>
    <col min="12287" max="12287" width="10.42578125" style="1" customWidth="1"/>
    <col min="12288" max="12288" width="10.85546875" style="1" bestFit="1" customWidth="1"/>
    <col min="12289" max="12292" width="7" style="1" customWidth="1"/>
    <col min="12293" max="12293" width="6" style="1" bestFit="1" customWidth="1"/>
    <col min="12294" max="12294" width="10.42578125" style="1" customWidth="1"/>
    <col min="12295" max="12295" width="7.42578125" style="1" bestFit="1" customWidth="1"/>
    <col min="12296" max="12296" width="10.42578125" style="1" customWidth="1"/>
    <col min="12297" max="12297" width="12" style="1" customWidth="1"/>
    <col min="12298" max="12298" width="8.85546875" style="1" customWidth="1"/>
    <col min="12299" max="12299" width="14" style="1" customWidth="1"/>
    <col min="12300" max="12532" width="9.140625" style="1"/>
    <col min="12533" max="12533" width="33.85546875" style="1" bestFit="1" customWidth="1"/>
    <col min="12534" max="12534" width="6.42578125" style="1" bestFit="1" customWidth="1"/>
    <col min="12535" max="12535" width="10.85546875" style="1" bestFit="1" customWidth="1"/>
    <col min="12536" max="12539" width="7" style="1" customWidth="1"/>
    <col min="12540" max="12540" width="6.85546875" style="1" customWidth="1"/>
    <col min="12541" max="12541" width="10.42578125" style="1" customWidth="1"/>
    <col min="12542" max="12542" width="7.42578125" style="1" bestFit="1" customWidth="1"/>
    <col min="12543" max="12543" width="10.42578125" style="1" customWidth="1"/>
    <col min="12544" max="12544" width="10.85546875" style="1" bestFit="1" customWidth="1"/>
    <col min="12545" max="12548" width="7" style="1" customWidth="1"/>
    <col min="12549" max="12549" width="6" style="1" bestFit="1" customWidth="1"/>
    <col min="12550" max="12550" width="10.42578125" style="1" customWidth="1"/>
    <col min="12551" max="12551" width="7.42578125" style="1" bestFit="1" customWidth="1"/>
    <col min="12552" max="12552" width="10.42578125" style="1" customWidth="1"/>
    <col min="12553" max="12553" width="12" style="1" customWidth="1"/>
    <col min="12554" max="12554" width="8.85546875" style="1" customWidth="1"/>
    <col min="12555" max="12555" width="14" style="1" customWidth="1"/>
    <col min="12556" max="12788" width="9.140625" style="1"/>
    <col min="12789" max="12789" width="33.85546875" style="1" bestFit="1" customWidth="1"/>
    <col min="12790" max="12790" width="6.42578125" style="1" bestFit="1" customWidth="1"/>
    <col min="12791" max="12791" width="10.85546875" style="1" bestFit="1" customWidth="1"/>
    <col min="12792" max="12795" width="7" style="1" customWidth="1"/>
    <col min="12796" max="12796" width="6.85546875" style="1" customWidth="1"/>
    <col min="12797" max="12797" width="10.42578125" style="1" customWidth="1"/>
    <col min="12798" max="12798" width="7.42578125" style="1" bestFit="1" customWidth="1"/>
    <col min="12799" max="12799" width="10.42578125" style="1" customWidth="1"/>
    <col min="12800" max="12800" width="10.85546875" style="1" bestFit="1" customWidth="1"/>
    <col min="12801" max="12804" width="7" style="1" customWidth="1"/>
    <col min="12805" max="12805" width="6" style="1" bestFit="1" customWidth="1"/>
    <col min="12806" max="12806" width="10.42578125" style="1" customWidth="1"/>
    <col min="12807" max="12807" width="7.42578125" style="1" bestFit="1" customWidth="1"/>
    <col min="12808" max="12808" width="10.42578125" style="1" customWidth="1"/>
    <col min="12809" max="12809" width="12" style="1" customWidth="1"/>
    <col min="12810" max="12810" width="8.85546875" style="1" customWidth="1"/>
    <col min="12811" max="12811" width="14" style="1" customWidth="1"/>
    <col min="12812" max="13044" width="9.140625" style="1"/>
    <col min="13045" max="13045" width="33.85546875" style="1" bestFit="1" customWidth="1"/>
    <col min="13046" max="13046" width="6.42578125" style="1" bestFit="1" customWidth="1"/>
    <col min="13047" max="13047" width="10.85546875" style="1" bestFit="1" customWidth="1"/>
    <col min="13048" max="13051" width="7" style="1" customWidth="1"/>
    <col min="13052" max="13052" width="6.85546875" style="1" customWidth="1"/>
    <col min="13053" max="13053" width="10.42578125" style="1" customWidth="1"/>
    <col min="13054" max="13054" width="7.42578125" style="1" bestFit="1" customWidth="1"/>
    <col min="13055" max="13055" width="10.42578125" style="1" customWidth="1"/>
    <col min="13056" max="13056" width="10.85546875" style="1" bestFit="1" customWidth="1"/>
    <col min="13057" max="13060" width="7" style="1" customWidth="1"/>
    <col min="13061" max="13061" width="6" style="1" bestFit="1" customWidth="1"/>
    <col min="13062" max="13062" width="10.42578125" style="1" customWidth="1"/>
    <col min="13063" max="13063" width="7.42578125" style="1" bestFit="1" customWidth="1"/>
    <col min="13064" max="13064" width="10.42578125" style="1" customWidth="1"/>
    <col min="13065" max="13065" width="12" style="1" customWidth="1"/>
    <col min="13066" max="13066" width="8.85546875" style="1" customWidth="1"/>
    <col min="13067" max="13067" width="14" style="1" customWidth="1"/>
    <col min="13068" max="13300" width="9.140625" style="1"/>
    <col min="13301" max="13301" width="33.85546875" style="1" bestFit="1" customWidth="1"/>
    <col min="13302" max="13302" width="6.42578125" style="1" bestFit="1" customWidth="1"/>
    <col min="13303" max="13303" width="10.85546875" style="1" bestFit="1" customWidth="1"/>
    <col min="13304" max="13307" width="7" style="1" customWidth="1"/>
    <col min="13308" max="13308" width="6.85546875" style="1" customWidth="1"/>
    <col min="13309" max="13309" width="10.42578125" style="1" customWidth="1"/>
    <col min="13310" max="13310" width="7.42578125" style="1" bestFit="1" customWidth="1"/>
    <col min="13311" max="13311" width="10.42578125" style="1" customWidth="1"/>
    <col min="13312" max="13312" width="10.85546875" style="1" bestFit="1" customWidth="1"/>
    <col min="13313" max="13316" width="7" style="1" customWidth="1"/>
    <col min="13317" max="13317" width="6" style="1" bestFit="1" customWidth="1"/>
    <col min="13318" max="13318" width="10.42578125" style="1" customWidth="1"/>
    <col min="13319" max="13319" width="7.42578125" style="1" bestFit="1" customWidth="1"/>
    <col min="13320" max="13320" width="10.42578125" style="1" customWidth="1"/>
    <col min="13321" max="13321" width="12" style="1" customWidth="1"/>
    <col min="13322" max="13322" width="8.85546875" style="1" customWidth="1"/>
    <col min="13323" max="13323" width="14" style="1" customWidth="1"/>
    <col min="13324" max="13556" width="9.140625" style="1"/>
    <col min="13557" max="13557" width="33.85546875" style="1" bestFit="1" customWidth="1"/>
    <col min="13558" max="13558" width="6.42578125" style="1" bestFit="1" customWidth="1"/>
    <col min="13559" max="13559" width="10.85546875" style="1" bestFit="1" customWidth="1"/>
    <col min="13560" max="13563" width="7" style="1" customWidth="1"/>
    <col min="13564" max="13564" width="6.85546875" style="1" customWidth="1"/>
    <col min="13565" max="13565" width="10.42578125" style="1" customWidth="1"/>
    <col min="13566" max="13566" width="7.42578125" style="1" bestFit="1" customWidth="1"/>
    <col min="13567" max="13567" width="10.42578125" style="1" customWidth="1"/>
    <col min="13568" max="13568" width="10.85546875" style="1" bestFit="1" customWidth="1"/>
    <col min="13569" max="13572" width="7" style="1" customWidth="1"/>
    <col min="13573" max="13573" width="6" style="1" bestFit="1" customWidth="1"/>
    <col min="13574" max="13574" width="10.42578125" style="1" customWidth="1"/>
    <col min="13575" max="13575" width="7.42578125" style="1" bestFit="1" customWidth="1"/>
    <col min="13576" max="13576" width="10.42578125" style="1" customWidth="1"/>
    <col min="13577" max="13577" width="12" style="1" customWidth="1"/>
    <col min="13578" max="13578" width="8.85546875" style="1" customWidth="1"/>
    <col min="13579" max="13579" width="14" style="1" customWidth="1"/>
    <col min="13580" max="13812" width="9.140625" style="1"/>
    <col min="13813" max="13813" width="33.85546875" style="1" bestFit="1" customWidth="1"/>
    <col min="13814" max="13814" width="6.42578125" style="1" bestFit="1" customWidth="1"/>
    <col min="13815" max="13815" width="10.85546875" style="1" bestFit="1" customWidth="1"/>
    <col min="13816" max="13819" width="7" style="1" customWidth="1"/>
    <col min="13820" max="13820" width="6.85546875" style="1" customWidth="1"/>
    <col min="13821" max="13821" width="10.42578125" style="1" customWidth="1"/>
    <col min="13822" max="13822" width="7.42578125" style="1" bestFit="1" customWidth="1"/>
    <col min="13823" max="13823" width="10.42578125" style="1" customWidth="1"/>
    <col min="13824" max="13824" width="10.85546875" style="1" bestFit="1" customWidth="1"/>
    <col min="13825" max="13828" width="7" style="1" customWidth="1"/>
    <col min="13829" max="13829" width="6" style="1" bestFit="1" customWidth="1"/>
    <col min="13830" max="13830" width="10.42578125" style="1" customWidth="1"/>
    <col min="13831" max="13831" width="7.42578125" style="1" bestFit="1" customWidth="1"/>
    <col min="13832" max="13832" width="10.42578125" style="1" customWidth="1"/>
    <col min="13833" max="13833" width="12" style="1" customWidth="1"/>
    <col min="13834" max="13834" width="8.85546875" style="1" customWidth="1"/>
    <col min="13835" max="13835" width="14" style="1" customWidth="1"/>
    <col min="13836" max="14068" width="9.140625" style="1"/>
    <col min="14069" max="14069" width="33.85546875" style="1" bestFit="1" customWidth="1"/>
    <col min="14070" max="14070" width="6.42578125" style="1" bestFit="1" customWidth="1"/>
    <col min="14071" max="14071" width="10.85546875" style="1" bestFit="1" customWidth="1"/>
    <col min="14072" max="14075" width="7" style="1" customWidth="1"/>
    <col min="14076" max="14076" width="6.85546875" style="1" customWidth="1"/>
    <col min="14077" max="14077" width="10.42578125" style="1" customWidth="1"/>
    <col min="14078" max="14078" width="7.42578125" style="1" bestFit="1" customWidth="1"/>
    <col min="14079" max="14079" width="10.42578125" style="1" customWidth="1"/>
    <col min="14080" max="14080" width="10.85546875" style="1" bestFit="1" customWidth="1"/>
    <col min="14081" max="14084" width="7" style="1" customWidth="1"/>
    <col min="14085" max="14085" width="6" style="1" bestFit="1" customWidth="1"/>
    <col min="14086" max="14086" width="10.42578125" style="1" customWidth="1"/>
    <col min="14087" max="14087" width="7.42578125" style="1" bestFit="1" customWidth="1"/>
    <col min="14088" max="14088" width="10.42578125" style="1" customWidth="1"/>
    <col min="14089" max="14089" width="12" style="1" customWidth="1"/>
    <col min="14090" max="14090" width="8.85546875" style="1" customWidth="1"/>
    <col min="14091" max="14091" width="14" style="1" customWidth="1"/>
    <col min="14092" max="14324" width="9.140625" style="1"/>
    <col min="14325" max="14325" width="33.85546875" style="1" bestFit="1" customWidth="1"/>
    <col min="14326" max="14326" width="6.42578125" style="1" bestFit="1" customWidth="1"/>
    <col min="14327" max="14327" width="10.85546875" style="1" bestFit="1" customWidth="1"/>
    <col min="14328" max="14331" width="7" style="1" customWidth="1"/>
    <col min="14332" max="14332" width="6.85546875" style="1" customWidth="1"/>
    <col min="14333" max="14333" width="10.42578125" style="1" customWidth="1"/>
    <col min="14334" max="14334" width="7.42578125" style="1" bestFit="1" customWidth="1"/>
    <col min="14335" max="14335" width="10.42578125" style="1" customWidth="1"/>
    <col min="14336" max="14336" width="10.85546875" style="1" bestFit="1" customWidth="1"/>
    <col min="14337" max="14340" width="7" style="1" customWidth="1"/>
    <col min="14341" max="14341" width="6" style="1" bestFit="1" customWidth="1"/>
    <col min="14342" max="14342" width="10.42578125" style="1" customWidth="1"/>
    <col min="14343" max="14343" width="7.42578125" style="1" bestFit="1" customWidth="1"/>
    <col min="14344" max="14344" width="10.42578125" style="1" customWidth="1"/>
    <col min="14345" max="14345" width="12" style="1" customWidth="1"/>
    <col min="14346" max="14346" width="8.85546875" style="1" customWidth="1"/>
    <col min="14347" max="14347" width="14" style="1" customWidth="1"/>
    <col min="14348" max="14580" width="9.140625" style="1"/>
    <col min="14581" max="14581" width="33.85546875" style="1" bestFit="1" customWidth="1"/>
    <col min="14582" max="14582" width="6.42578125" style="1" bestFit="1" customWidth="1"/>
    <col min="14583" max="14583" width="10.85546875" style="1" bestFit="1" customWidth="1"/>
    <col min="14584" max="14587" width="7" style="1" customWidth="1"/>
    <col min="14588" max="14588" width="6.85546875" style="1" customWidth="1"/>
    <col min="14589" max="14589" width="10.42578125" style="1" customWidth="1"/>
    <col min="14590" max="14590" width="7.42578125" style="1" bestFit="1" customWidth="1"/>
    <col min="14591" max="14591" width="10.42578125" style="1" customWidth="1"/>
    <col min="14592" max="14592" width="10.85546875" style="1" bestFit="1" customWidth="1"/>
    <col min="14593" max="14596" width="7" style="1" customWidth="1"/>
    <col min="14597" max="14597" width="6" style="1" bestFit="1" customWidth="1"/>
    <col min="14598" max="14598" width="10.42578125" style="1" customWidth="1"/>
    <col min="14599" max="14599" width="7.42578125" style="1" bestFit="1" customWidth="1"/>
    <col min="14600" max="14600" width="10.42578125" style="1" customWidth="1"/>
    <col min="14601" max="14601" width="12" style="1" customWidth="1"/>
    <col min="14602" max="14602" width="8.85546875" style="1" customWidth="1"/>
    <col min="14603" max="14603" width="14" style="1" customWidth="1"/>
    <col min="14604" max="14836" width="9.140625" style="1"/>
    <col min="14837" max="14837" width="33.85546875" style="1" bestFit="1" customWidth="1"/>
    <col min="14838" max="14838" width="6.42578125" style="1" bestFit="1" customWidth="1"/>
    <col min="14839" max="14839" width="10.85546875" style="1" bestFit="1" customWidth="1"/>
    <col min="14840" max="14843" width="7" style="1" customWidth="1"/>
    <col min="14844" max="14844" width="6.85546875" style="1" customWidth="1"/>
    <col min="14845" max="14845" width="10.42578125" style="1" customWidth="1"/>
    <col min="14846" max="14846" width="7.42578125" style="1" bestFit="1" customWidth="1"/>
    <col min="14847" max="14847" width="10.42578125" style="1" customWidth="1"/>
    <col min="14848" max="14848" width="10.85546875" style="1" bestFit="1" customWidth="1"/>
    <col min="14849" max="14852" width="7" style="1" customWidth="1"/>
    <col min="14853" max="14853" width="6" style="1" bestFit="1" customWidth="1"/>
    <col min="14854" max="14854" width="10.42578125" style="1" customWidth="1"/>
    <col min="14855" max="14855" width="7.42578125" style="1" bestFit="1" customWidth="1"/>
    <col min="14856" max="14856" width="10.42578125" style="1" customWidth="1"/>
    <col min="14857" max="14857" width="12" style="1" customWidth="1"/>
    <col min="14858" max="14858" width="8.85546875" style="1" customWidth="1"/>
    <col min="14859" max="14859" width="14" style="1" customWidth="1"/>
    <col min="14860" max="15092" width="9.140625" style="1"/>
    <col min="15093" max="15093" width="33.85546875" style="1" bestFit="1" customWidth="1"/>
    <col min="15094" max="15094" width="6.42578125" style="1" bestFit="1" customWidth="1"/>
    <col min="15095" max="15095" width="10.85546875" style="1" bestFit="1" customWidth="1"/>
    <col min="15096" max="15099" width="7" style="1" customWidth="1"/>
    <col min="15100" max="15100" width="6.85546875" style="1" customWidth="1"/>
    <col min="15101" max="15101" width="10.42578125" style="1" customWidth="1"/>
    <col min="15102" max="15102" width="7.42578125" style="1" bestFit="1" customWidth="1"/>
    <col min="15103" max="15103" width="10.42578125" style="1" customWidth="1"/>
    <col min="15104" max="15104" width="10.85546875" style="1" bestFit="1" customWidth="1"/>
    <col min="15105" max="15108" width="7" style="1" customWidth="1"/>
    <col min="15109" max="15109" width="6" style="1" bestFit="1" customWidth="1"/>
    <col min="15110" max="15110" width="10.42578125" style="1" customWidth="1"/>
    <col min="15111" max="15111" width="7.42578125" style="1" bestFit="1" customWidth="1"/>
    <col min="15112" max="15112" width="10.42578125" style="1" customWidth="1"/>
    <col min="15113" max="15113" width="12" style="1" customWidth="1"/>
    <col min="15114" max="15114" width="8.85546875" style="1" customWidth="1"/>
    <col min="15115" max="15115" width="14" style="1" customWidth="1"/>
    <col min="15116" max="15348" width="9.140625" style="1"/>
    <col min="15349" max="15349" width="33.85546875" style="1" bestFit="1" customWidth="1"/>
    <col min="15350" max="15350" width="6.42578125" style="1" bestFit="1" customWidth="1"/>
    <col min="15351" max="15351" width="10.85546875" style="1" bestFit="1" customWidth="1"/>
    <col min="15352" max="15355" width="7" style="1" customWidth="1"/>
    <col min="15356" max="15356" width="6.85546875" style="1" customWidth="1"/>
    <col min="15357" max="15357" width="10.42578125" style="1" customWidth="1"/>
    <col min="15358" max="15358" width="7.42578125" style="1" bestFit="1" customWidth="1"/>
    <col min="15359" max="15359" width="10.42578125" style="1" customWidth="1"/>
    <col min="15360" max="15360" width="10.85546875" style="1" bestFit="1" customWidth="1"/>
    <col min="15361" max="15364" width="7" style="1" customWidth="1"/>
    <col min="15365" max="15365" width="6" style="1" bestFit="1" customWidth="1"/>
    <col min="15366" max="15366" width="10.42578125" style="1" customWidth="1"/>
    <col min="15367" max="15367" width="7.42578125" style="1" bestFit="1" customWidth="1"/>
    <col min="15368" max="15368" width="10.42578125" style="1" customWidth="1"/>
    <col min="15369" max="15369" width="12" style="1" customWidth="1"/>
    <col min="15370" max="15370" width="8.85546875" style="1" customWidth="1"/>
    <col min="15371" max="15371" width="14" style="1" customWidth="1"/>
    <col min="15372" max="15604" width="9.140625" style="1"/>
    <col min="15605" max="15605" width="33.85546875" style="1" bestFit="1" customWidth="1"/>
    <col min="15606" max="15606" width="6.42578125" style="1" bestFit="1" customWidth="1"/>
    <col min="15607" max="15607" width="10.85546875" style="1" bestFit="1" customWidth="1"/>
    <col min="15608" max="15611" width="7" style="1" customWidth="1"/>
    <col min="15612" max="15612" width="6.85546875" style="1" customWidth="1"/>
    <col min="15613" max="15613" width="10.42578125" style="1" customWidth="1"/>
    <col min="15614" max="15614" width="7.42578125" style="1" bestFit="1" customWidth="1"/>
    <col min="15615" max="15615" width="10.42578125" style="1" customWidth="1"/>
    <col min="15616" max="15616" width="10.85546875" style="1" bestFit="1" customWidth="1"/>
    <col min="15617" max="15620" width="7" style="1" customWidth="1"/>
    <col min="15621" max="15621" width="6" style="1" bestFit="1" customWidth="1"/>
    <col min="15622" max="15622" width="10.42578125" style="1" customWidth="1"/>
    <col min="15623" max="15623" width="7.42578125" style="1" bestFit="1" customWidth="1"/>
    <col min="15624" max="15624" width="10.42578125" style="1" customWidth="1"/>
    <col min="15625" max="15625" width="12" style="1" customWidth="1"/>
    <col min="15626" max="15626" width="8.85546875" style="1" customWidth="1"/>
    <col min="15627" max="15627" width="14" style="1" customWidth="1"/>
    <col min="15628" max="15860" width="9.140625" style="1"/>
    <col min="15861" max="15861" width="33.85546875" style="1" bestFit="1" customWidth="1"/>
    <col min="15862" max="15862" width="6.42578125" style="1" bestFit="1" customWidth="1"/>
    <col min="15863" max="15863" width="10.85546875" style="1" bestFit="1" customWidth="1"/>
    <col min="15864" max="15867" width="7" style="1" customWidth="1"/>
    <col min="15868" max="15868" width="6.85546875" style="1" customWidth="1"/>
    <col min="15869" max="15869" width="10.42578125" style="1" customWidth="1"/>
    <col min="15870" max="15870" width="7.42578125" style="1" bestFit="1" customWidth="1"/>
    <col min="15871" max="15871" width="10.42578125" style="1" customWidth="1"/>
    <col min="15872" max="15872" width="10.85546875" style="1" bestFit="1" customWidth="1"/>
    <col min="15873" max="15876" width="7" style="1" customWidth="1"/>
    <col min="15877" max="15877" width="6" style="1" bestFit="1" customWidth="1"/>
    <col min="15878" max="15878" width="10.42578125" style="1" customWidth="1"/>
    <col min="15879" max="15879" width="7.42578125" style="1" bestFit="1" customWidth="1"/>
    <col min="15880" max="15880" width="10.42578125" style="1" customWidth="1"/>
    <col min="15881" max="15881" width="12" style="1" customWidth="1"/>
    <col min="15882" max="15882" width="8.85546875" style="1" customWidth="1"/>
    <col min="15883" max="15883" width="14" style="1" customWidth="1"/>
    <col min="15884" max="16116" width="9.140625" style="1"/>
    <col min="16117" max="16117" width="33.85546875" style="1" bestFit="1" customWidth="1"/>
    <col min="16118" max="16118" width="6.42578125" style="1" bestFit="1" customWidth="1"/>
    <col min="16119" max="16119" width="10.85546875" style="1" bestFit="1" customWidth="1"/>
    <col min="16120" max="16123" width="7" style="1" customWidth="1"/>
    <col min="16124" max="16124" width="6.85546875" style="1" customWidth="1"/>
    <col min="16125" max="16125" width="10.42578125" style="1" customWidth="1"/>
    <col min="16126" max="16126" width="7.42578125" style="1" bestFit="1" customWidth="1"/>
    <col min="16127" max="16127" width="10.42578125" style="1" customWidth="1"/>
    <col min="16128" max="16128" width="10.85546875" style="1" bestFit="1" customWidth="1"/>
    <col min="16129" max="16132" width="7" style="1" customWidth="1"/>
    <col min="16133" max="16133" width="6" style="1" bestFit="1" customWidth="1"/>
    <col min="16134" max="16134" width="10.42578125" style="1" customWidth="1"/>
    <col min="16135" max="16135" width="7.42578125" style="1" bestFit="1" customWidth="1"/>
    <col min="16136" max="16136" width="10.42578125" style="1" customWidth="1"/>
    <col min="16137" max="16137" width="12" style="1" customWidth="1"/>
    <col min="16138" max="16138" width="8.85546875" style="1" customWidth="1"/>
    <col min="16139" max="16139" width="14" style="1" customWidth="1"/>
    <col min="16140" max="16384" width="9.140625" style="1"/>
  </cols>
  <sheetData>
    <row r="1" spans="1:20" ht="15.75">
      <c r="K1" s="635" t="s">
        <v>947</v>
      </c>
    </row>
    <row r="2" spans="1:20" ht="48" customHeight="1">
      <c r="A2" s="1406" t="s">
        <v>1297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</row>
    <row r="3" spans="1:20" ht="8.25" customHeight="1">
      <c r="A3" s="190"/>
      <c r="B3" s="193"/>
      <c r="C3" s="11"/>
      <c r="D3" s="11"/>
      <c r="E3" s="11"/>
      <c r="F3" s="11"/>
      <c r="G3" s="11"/>
      <c r="H3" s="11"/>
      <c r="I3" s="636"/>
      <c r="J3" s="11"/>
      <c r="K3" s="636"/>
    </row>
    <row r="4" spans="1:20" ht="12.75" hidden="1">
      <c r="A4" s="1407"/>
      <c r="B4" s="1407"/>
      <c r="C4" s="1407"/>
      <c r="D4" s="1407"/>
      <c r="E4" s="1407"/>
      <c r="F4" s="1407"/>
      <c r="G4" s="1407"/>
      <c r="H4" s="1407"/>
      <c r="I4" s="1407"/>
      <c r="J4" s="1407"/>
      <c r="K4" s="1407"/>
    </row>
    <row r="5" spans="1:20" s="188" customFormat="1" ht="25.5" customHeight="1">
      <c r="A5" s="183" t="s">
        <v>1298</v>
      </c>
      <c r="B5" s="184"/>
      <c r="C5" s="187"/>
      <c r="D5" s="187"/>
      <c r="E5" s="187"/>
      <c r="F5" s="187"/>
      <c r="G5" s="187"/>
      <c r="H5" s="187"/>
      <c r="I5" s="637"/>
      <c r="J5" s="187"/>
      <c r="K5" s="637"/>
      <c r="L5" s="220"/>
      <c r="M5" s="220"/>
      <c r="N5" s="220"/>
      <c r="O5" s="220"/>
      <c r="P5" s="220"/>
      <c r="Q5" s="220"/>
      <c r="R5" s="220"/>
      <c r="S5" s="220"/>
      <c r="T5" s="220"/>
    </row>
    <row r="6" spans="1:20" s="188" customFormat="1" ht="9" customHeight="1">
      <c r="A6" s="1408"/>
      <c r="B6" s="1408"/>
      <c r="C6" s="1408"/>
      <c r="D6" s="1408"/>
      <c r="E6" s="1408"/>
      <c r="F6" s="1408"/>
      <c r="G6" s="1408"/>
      <c r="H6" s="1408"/>
      <c r="I6" s="1408"/>
      <c r="J6" s="1408"/>
      <c r="K6" s="1408"/>
      <c r="L6" s="220"/>
      <c r="M6" s="220"/>
      <c r="N6" s="220"/>
      <c r="O6" s="220"/>
      <c r="P6" s="220"/>
      <c r="Q6" s="220"/>
      <c r="R6" s="220"/>
      <c r="S6" s="220"/>
      <c r="T6" s="220"/>
    </row>
    <row r="7" spans="1:20" s="405" customFormat="1" ht="12" customHeight="1">
      <c r="A7" s="403"/>
      <c r="B7" s="403"/>
      <c r="C7" s="403"/>
      <c r="D7" s="403"/>
      <c r="E7" s="403"/>
      <c r="F7" s="403"/>
      <c r="G7" s="403"/>
      <c r="H7" s="403"/>
      <c r="I7" s="638"/>
      <c r="J7" s="1409" t="s">
        <v>995</v>
      </c>
      <c r="K7" s="1409"/>
      <c r="L7" s="404"/>
      <c r="M7" s="404"/>
      <c r="N7" s="404"/>
      <c r="O7" s="404"/>
      <c r="P7" s="404"/>
      <c r="Q7" s="404"/>
      <c r="R7" s="404"/>
      <c r="S7" s="404"/>
      <c r="T7" s="404"/>
    </row>
    <row r="8" spans="1:20" s="192" customFormat="1" ht="20.100000000000001" customHeight="1">
      <c r="A8" s="1410" t="s">
        <v>863</v>
      </c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221"/>
      <c r="M8" s="221"/>
      <c r="N8" s="221"/>
      <c r="O8" s="221"/>
      <c r="P8" s="221"/>
      <c r="Q8" s="221"/>
      <c r="R8" s="221"/>
      <c r="S8" s="221"/>
      <c r="T8" s="221"/>
    </row>
    <row r="9" spans="1:20" ht="18" customHeight="1">
      <c r="A9" s="1391" t="s">
        <v>864</v>
      </c>
      <c r="B9" s="1386" t="s">
        <v>865</v>
      </c>
      <c r="C9" s="1386" t="s">
        <v>133</v>
      </c>
      <c r="D9" s="1392" t="s">
        <v>1093</v>
      </c>
      <c r="E9" s="1392"/>
      <c r="F9" s="1392"/>
      <c r="G9" s="1392"/>
      <c r="H9" s="1392"/>
      <c r="I9" s="1392"/>
      <c r="J9" s="1392"/>
      <c r="K9" s="1392"/>
    </row>
    <row r="10" spans="1:20" ht="18" customHeight="1">
      <c r="A10" s="1391"/>
      <c r="B10" s="1386"/>
      <c r="C10" s="1386"/>
      <c r="D10" s="1395" t="s">
        <v>134</v>
      </c>
      <c r="E10" s="1395"/>
      <c r="F10" s="1395"/>
      <c r="G10" s="1395"/>
      <c r="H10" s="1395"/>
      <c r="I10" s="1395"/>
      <c r="J10" s="1395" t="s">
        <v>135</v>
      </c>
      <c r="K10" s="1392"/>
    </row>
    <row r="11" spans="1:20" ht="15" customHeight="1">
      <c r="A11" s="1391"/>
      <c r="B11" s="1386"/>
      <c r="C11" s="1386"/>
      <c r="D11" s="1386" t="s">
        <v>136</v>
      </c>
      <c r="E11" s="1386"/>
      <c r="F11" s="1386" t="s">
        <v>137</v>
      </c>
      <c r="G11" s="1386"/>
      <c r="H11" s="1386" t="s">
        <v>138</v>
      </c>
      <c r="I11" s="1387" t="s">
        <v>866</v>
      </c>
      <c r="J11" s="1386" t="s">
        <v>139</v>
      </c>
      <c r="K11" s="1387" t="s">
        <v>866</v>
      </c>
    </row>
    <row r="12" spans="1:20" ht="15" customHeight="1">
      <c r="A12" s="1391"/>
      <c r="B12" s="1386"/>
      <c r="C12" s="1386"/>
      <c r="D12" s="603" t="s">
        <v>140</v>
      </c>
      <c r="E12" s="603" t="s">
        <v>141</v>
      </c>
      <c r="F12" s="603" t="s">
        <v>140</v>
      </c>
      <c r="G12" s="603" t="s">
        <v>141</v>
      </c>
      <c r="H12" s="1386"/>
      <c r="I12" s="1387"/>
      <c r="J12" s="1386"/>
      <c r="K12" s="1387"/>
    </row>
    <row r="13" spans="1:20" ht="20.100000000000001" customHeight="1">
      <c r="A13" s="1381" t="s">
        <v>143</v>
      </c>
      <c r="B13" s="194" t="s">
        <v>158</v>
      </c>
      <c r="C13" s="1383">
        <f>C55+C94+C133+C172+C211+C250+C289+C328+C367</f>
        <v>106</v>
      </c>
      <c r="D13" s="406">
        <f>D55+D94+D133+D172+D211+D250+D289+D328+D367</f>
        <v>59</v>
      </c>
      <c r="E13" s="406">
        <f>E55+E94+E133+E172+E211+E250+E289+E328+E367</f>
        <v>19</v>
      </c>
      <c r="F13" s="406">
        <f>F55+F94+F133+F172+F211+F250+F289+F328+F367</f>
        <v>0</v>
      </c>
      <c r="G13" s="406">
        <f>G55+G94+G133+G172+G211+G250+G289+G328+G367</f>
        <v>0</v>
      </c>
      <c r="H13" s="15">
        <f>D13+E13+F13+G13</f>
        <v>78</v>
      </c>
      <c r="I13" s="639">
        <f>I55+I94+I133+I172+I211+I250+I289+I328+I367</f>
        <v>212.77</v>
      </c>
      <c r="J13" s="15">
        <f>SUM(C13-H13)</f>
        <v>28</v>
      </c>
      <c r="K13" s="639">
        <f>K55+K94+K133+K172+K211+K250+K289+K328+K367</f>
        <v>41.408699999999982</v>
      </c>
    </row>
    <row r="14" spans="1:20" ht="20.100000000000001" customHeight="1">
      <c r="A14" s="1382"/>
      <c r="B14" s="194" t="s">
        <v>159</v>
      </c>
      <c r="C14" s="1383"/>
      <c r="D14" s="15"/>
      <c r="E14" s="15"/>
      <c r="F14" s="15"/>
      <c r="G14" s="15"/>
      <c r="H14" s="15"/>
      <c r="I14" s="639"/>
      <c r="J14" s="15"/>
      <c r="K14" s="640"/>
    </row>
    <row r="15" spans="1:20" ht="20.100000000000001" customHeight="1">
      <c r="A15" s="1381" t="s">
        <v>144</v>
      </c>
      <c r="B15" s="194" t="s">
        <v>158</v>
      </c>
      <c r="C15" s="1383">
        <f>C57+C96+C135+C174+C213+C252+C291+C330+C369</f>
        <v>107</v>
      </c>
      <c r="D15" s="406">
        <f>D57+D96+D135+D174+D213+D252+D291+D330+D369</f>
        <v>24</v>
      </c>
      <c r="E15" s="406">
        <f>E57+E96+E135+E174+E213+E252+E291+E330+E369</f>
        <v>21</v>
      </c>
      <c r="F15" s="406">
        <f>F57+F96+F135+F174+F213+F252+F291+F330+F369</f>
        <v>8</v>
      </c>
      <c r="G15" s="406">
        <f>G57+G96+G135+G174+G213+G252+G291+G330+G369</f>
        <v>3</v>
      </c>
      <c r="H15" s="15">
        <f>D15+E15+F15+G15</f>
        <v>56</v>
      </c>
      <c r="I15" s="639">
        <f>I57+I96+I135+I174+I213+I252+I291+I330+I369</f>
        <v>126.657</v>
      </c>
      <c r="J15" s="15">
        <f>SUM(C15-H15)</f>
        <v>51</v>
      </c>
      <c r="K15" s="639">
        <f>K57+K96+K135+K174+K213+K252+K291+K330+K369</f>
        <v>85.936000000000007</v>
      </c>
    </row>
    <row r="16" spans="1:20" ht="20.100000000000001" customHeight="1">
      <c r="A16" s="1382"/>
      <c r="B16" s="194" t="s">
        <v>159</v>
      </c>
      <c r="C16" s="1383"/>
      <c r="D16" s="406"/>
      <c r="E16" s="15"/>
      <c r="F16" s="15"/>
      <c r="G16" s="15"/>
      <c r="H16" s="15"/>
      <c r="I16" s="639"/>
      <c r="J16" s="15"/>
      <c r="K16" s="640"/>
    </row>
    <row r="17" spans="1:27" ht="20.100000000000001" customHeight="1">
      <c r="A17" s="1381" t="s">
        <v>145</v>
      </c>
      <c r="B17" s="194" t="s">
        <v>158</v>
      </c>
      <c r="C17" s="1383">
        <f>C59+C98+C137+C176+C215+C254+C293+C332+C371</f>
        <v>206</v>
      </c>
      <c r="D17" s="406">
        <f>D59+D98+D137+D176+D215+D254+D293+D332+D371</f>
        <v>77</v>
      </c>
      <c r="E17" s="406">
        <f>E59+E98+E137+E176+E215+E254+E293+E332+E371</f>
        <v>29</v>
      </c>
      <c r="F17" s="406">
        <f>F59+F98+F137+F176+F215+F254+F293+F332+F371</f>
        <v>48</v>
      </c>
      <c r="G17" s="15">
        <f>G59+G98+G137+G176+G215+G254+G293+G332</f>
        <v>36</v>
      </c>
      <c r="H17" s="15">
        <f>D17+E17+F17+G17</f>
        <v>190</v>
      </c>
      <c r="I17" s="639">
        <f>I59+I98+I137+I176+I215+I254+I293+I332+I371</f>
        <v>319.78800000000007</v>
      </c>
      <c r="J17" s="15">
        <f>SUM(C17-H17)</f>
        <v>16</v>
      </c>
      <c r="K17" s="639">
        <f>K59+K98+K137+K176+K215+K254+K293+K332+K371</f>
        <v>19.800999999999995</v>
      </c>
    </row>
    <row r="18" spans="1:27" ht="20.100000000000001" customHeight="1">
      <c r="A18" s="1382"/>
      <c r="B18" s="194" t="s">
        <v>159</v>
      </c>
      <c r="C18" s="1383"/>
      <c r="D18" s="15"/>
      <c r="E18" s="15"/>
      <c r="F18" s="15"/>
      <c r="G18" s="15"/>
      <c r="H18" s="15"/>
      <c r="I18" s="639"/>
      <c r="J18" s="15"/>
      <c r="K18" s="640"/>
    </row>
    <row r="19" spans="1:27" ht="20.100000000000001" customHeight="1">
      <c r="A19" s="602" t="s">
        <v>146</v>
      </c>
      <c r="B19" s="194" t="s">
        <v>158</v>
      </c>
      <c r="C19" s="604">
        <f>C61+C100+C139+C178+C217+C256+C295+C334+C373</f>
        <v>281</v>
      </c>
      <c r="D19" s="406">
        <f>D61+D100+D139+D178+D217+D256+D295+D334+D373</f>
        <v>18</v>
      </c>
      <c r="E19" s="406">
        <f>E61+E100+E139+E178+E217+E256+E295+E334+E373</f>
        <v>12</v>
      </c>
      <c r="F19" s="406">
        <f>F61+F100+F139+F178+F217+F256+F295+F334+F373</f>
        <v>98</v>
      </c>
      <c r="G19" s="406">
        <f>G61+G100+G139+G178+G217+G256+G295+G334+G373</f>
        <v>120</v>
      </c>
      <c r="H19" s="15">
        <f>D19+E19+F19+G19</f>
        <v>248</v>
      </c>
      <c r="I19" s="639">
        <f>I61+I100+I139+I178+I217+I256+I295+I334+I373</f>
        <v>306.44899999999996</v>
      </c>
      <c r="J19" s="15">
        <f>SUM(C19-H19)</f>
        <v>33</v>
      </c>
      <c r="K19" s="639">
        <f>K61+K100+K139+K178+K217+K256+K295+K334+K373</f>
        <v>28.240000000000009</v>
      </c>
    </row>
    <row r="20" spans="1:27" s="195" customFormat="1" ht="20.100000000000001" customHeight="1">
      <c r="A20" s="1384" t="s">
        <v>138</v>
      </c>
      <c r="B20" s="1385"/>
      <c r="C20" s="402">
        <f t="shared" ref="C20:K20" si="0">SUM(C13:C19)</f>
        <v>700</v>
      </c>
      <c r="D20" s="402">
        <f t="shared" si="0"/>
        <v>178</v>
      </c>
      <c r="E20" s="402">
        <f t="shared" si="0"/>
        <v>81</v>
      </c>
      <c r="F20" s="402">
        <f t="shared" si="0"/>
        <v>154</v>
      </c>
      <c r="G20" s="402">
        <f t="shared" si="0"/>
        <v>159</v>
      </c>
      <c r="H20" s="402">
        <f t="shared" si="0"/>
        <v>572</v>
      </c>
      <c r="I20" s="641">
        <f t="shared" si="0"/>
        <v>965.6640000000001</v>
      </c>
      <c r="J20" s="402">
        <f t="shared" si="0"/>
        <v>128</v>
      </c>
      <c r="K20" s="642">
        <f t="shared" si="0"/>
        <v>175.38569999999999</v>
      </c>
      <c r="L20" s="8"/>
      <c r="M20" s="8"/>
      <c r="N20" s="8"/>
      <c r="O20" s="8"/>
      <c r="P20" s="8"/>
      <c r="Q20" s="8"/>
      <c r="R20" s="8"/>
      <c r="S20" s="8"/>
      <c r="T20" s="8"/>
    </row>
    <row r="21" spans="1:27" s="195" customFormat="1" ht="12" customHeight="1">
      <c r="A21" s="1388"/>
      <c r="B21" s="1389"/>
      <c r="C21" s="1389"/>
      <c r="D21" s="1389"/>
      <c r="E21" s="1389"/>
      <c r="F21" s="1389"/>
      <c r="G21" s="1389"/>
      <c r="H21" s="1389"/>
      <c r="I21" s="1389"/>
      <c r="J21" s="1389"/>
      <c r="K21" s="1390"/>
      <c r="L21" s="8"/>
      <c r="M21" s="8"/>
      <c r="N21" s="8"/>
      <c r="O21" s="8"/>
      <c r="P21" s="8"/>
      <c r="Q21" s="8"/>
      <c r="R21" s="8"/>
      <c r="S21" s="8"/>
      <c r="T21" s="8"/>
    </row>
    <row r="22" spans="1:27" ht="18" customHeight="1">
      <c r="A22" s="1391" t="s">
        <v>864</v>
      </c>
      <c r="B22" s="1386" t="s">
        <v>865</v>
      </c>
      <c r="C22" s="1386" t="s">
        <v>133</v>
      </c>
      <c r="D22" s="1392" t="s">
        <v>1099</v>
      </c>
      <c r="E22" s="1392"/>
      <c r="F22" s="1392"/>
      <c r="G22" s="1392"/>
      <c r="H22" s="1392"/>
      <c r="I22" s="1392"/>
      <c r="J22" s="1392"/>
      <c r="K22" s="1392"/>
    </row>
    <row r="23" spans="1:27" ht="18" customHeight="1">
      <c r="A23" s="1391"/>
      <c r="B23" s="1386"/>
      <c r="C23" s="1386"/>
      <c r="D23" s="1393" t="s">
        <v>134</v>
      </c>
      <c r="E23" s="1393"/>
      <c r="F23" s="1393"/>
      <c r="G23" s="1393"/>
      <c r="H23" s="1393"/>
      <c r="I23" s="1393"/>
      <c r="J23" s="1393" t="s">
        <v>135</v>
      </c>
      <c r="K23" s="1394"/>
    </row>
    <row r="24" spans="1:27" ht="15" customHeight="1">
      <c r="A24" s="1391"/>
      <c r="B24" s="1386"/>
      <c r="C24" s="1386"/>
      <c r="D24" s="1386" t="s">
        <v>136</v>
      </c>
      <c r="E24" s="1386"/>
      <c r="F24" s="1386" t="s">
        <v>137</v>
      </c>
      <c r="G24" s="1386"/>
      <c r="H24" s="1386" t="s">
        <v>138</v>
      </c>
      <c r="I24" s="1387" t="s">
        <v>866</v>
      </c>
      <c r="J24" s="1386" t="s">
        <v>139</v>
      </c>
      <c r="K24" s="1387" t="s">
        <v>866</v>
      </c>
    </row>
    <row r="25" spans="1:27" ht="15" customHeight="1">
      <c r="A25" s="1391"/>
      <c r="B25" s="1386"/>
      <c r="C25" s="1386"/>
      <c r="D25" s="603" t="s">
        <v>140</v>
      </c>
      <c r="E25" s="603" t="s">
        <v>141</v>
      </c>
      <c r="F25" s="603" t="s">
        <v>140</v>
      </c>
      <c r="G25" s="603" t="s">
        <v>141</v>
      </c>
      <c r="H25" s="1386"/>
      <c r="I25" s="1387"/>
      <c r="J25" s="1386"/>
      <c r="K25" s="1387"/>
    </row>
    <row r="26" spans="1:27" ht="20.100000000000001" customHeight="1">
      <c r="A26" s="1381" t="s">
        <v>143</v>
      </c>
      <c r="B26" s="194" t="s">
        <v>158</v>
      </c>
      <c r="C26" s="1383">
        <f>C68+C107+C146+C185+C224+C263+C302+C341+C380</f>
        <v>106</v>
      </c>
      <c r="D26" s="406">
        <f>D68+D107+D146+D185+D224+D263+D302+D341+D380</f>
        <v>59</v>
      </c>
      <c r="E26" s="406">
        <f>E68+E107+E146+E185+E224+E263+E302+E341+E380</f>
        <v>19</v>
      </c>
      <c r="F26" s="406">
        <f>F68+F107+F146+F185+F224+F263+F302+F341+F380</f>
        <v>0</v>
      </c>
      <c r="G26" s="406">
        <f>G68+G107+G146+G185+G224+G263+G302+G341+G380</f>
        <v>0</v>
      </c>
      <c r="H26" s="15">
        <f t="shared" ref="H26:H32" si="1">D26+E26+F26+G26</f>
        <v>78</v>
      </c>
      <c r="I26" s="639">
        <f>I68+I107+I146+I185+I224+I263+I302+I341+I380</f>
        <v>207.10499999999999</v>
      </c>
      <c r="J26" s="15">
        <f>SUM(C26-H26)</f>
        <v>28</v>
      </c>
      <c r="K26" s="639">
        <f>K68+K107+K146+K185+K224+K263+K302+K341+K380</f>
        <v>41.408699999999982</v>
      </c>
    </row>
    <row r="27" spans="1:27" ht="20.100000000000001" customHeight="1">
      <c r="A27" s="1382"/>
      <c r="B27" s="194" t="s">
        <v>159</v>
      </c>
      <c r="C27" s="1383"/>
      <c r="D27" s="15"/>
      <c r="E27" s="15"/>
      <c r="F27" s="15"/>
      <c r="G27" s="15"/>
      <c r="H27" s="15">
        <f t="shared" si="1"/>
        <v>0</v>
      </c>
      <c r="I27" s="643">
        <f>I69+I108+I147+I186+I225+I264+I303+I342</f>
        <v>0</v>
      </c>
      <c r="J27" s="15"/>
      <c r="K27" s="644">
        <f>K69+K108+K147+K186+K225+K264+K303+K342</f>
        <v>0</v>
      </c>
    </row>
    <row r="28" spans="1:27" ht="20.100000000000001" customHeight="1">
      <c r="A28" s="1381" t="s">
        <v>144</v>
      </c>
      <c r="B28" s="194" t="s">
        <v>158</v>
      </c>
      <c r="C28" s="1383">
        <f>C70+C109+C148+C187+C226+C265+C304+C343+C382</f>
        <v>107</v>
      </c>
      <c r="D28" s="406">
        <f>D70+D109+D148+D187+D226+D265+D304+D343+D382</f>
        <v>24</v>
      </c>
      <c r="E28" s="406">
        <f>E70+E109+E148+E187+E226+E265+E304+E343+E382</f>
        <v>21</v>
      </c>
      <c r="F28" s="406">
        <f>F70+F109+F148+F187+F226+F265+F304+F343+F382</f>
        <v>8</v>
      </c>
      <c r="G28" s="406">
        <f>G70+G109+G148+G187+G226+G265+G304+G343+G382</f>
        <v>3</v>
      </c>
      <c r="H28" s="15">
        <f t="shared" si="1"/>
        <v>56</v>
      </c>
      <c r="I28" s="639">
        <f>I70+I109+I148+I187+I226+I265+I304+I343+I382</f>
        <v>123.02000000000001</v>
      </c>
      <c r="J28" s="15">
        <f>SUM(C28-H28)</f>
        <v>51</v>
      </c>
      <c r="K28" s="639">
        <f>K70+K109+K148+K187+K226+K265+K304+K343+K382</f>
        <v>85.936000000000007</v>
      </c>
    </row>
    <row r="29" spans="1:27" ht="20.100000000000001" customHeight="1">
      <c r="A29" s="1382"/>
      <c r="B29" s="194" t="s">
        <v>159</v>
      </c>
      <c r="C29" s="1383"/>
      <c r="D29" s="406"/>
      <c r="E29" s="15"/>
      <c r="F29" s="15"/>
      <c r="G29" s="15"/>
      <c r="H29" s="15">
        <f t="shared" si="1"/>
        <v>0</v>
      </c>
      <c r="I29" s="643">
        <f>I71+I110+I149+I188+I227+I266+I305+I344</f>
        <v>0</v>
      </c>
      <c r="J29" s="15"/>
      <c r="K29" s="644">
        <f>K71+K110+K149+K188+K227+K266+K305+K344</f>
        <v>0</v>
      </c>
    </row>
    <row r="30" spans="1:27" ht="20.100000000000001" customHeight="1">
      <c r="A30" s="1381" t="s">
        <v>145</v>
      </c>
      <c r="B30" s="194" t="s">
        <v>158</v>
      </c>
      <c r="C30" s="1383">
        <f>C72+C111+C150+C189+C228+C267+C306+C345+C384</f>
        <v>206</v>
      </c>
      <c r="D30" s="406">
        <f>D72+D111+D150+D189+D228+D267+D306+D345+D384</f>
        <v>77</v>
      </c>
      <c r="E30" s="406">
        <f>E72+E111+E150+E189+E228+E267+E306+E345+E384</f>
        <v>29</v>
      </c>
      <c r="F30" s="406">
        <f>F72+F111+F150+F189+F228+F267+F306+F345+F384</f>
        <v>48</v>
      </c>
      <c r="G30" s="15">
        <f>G72+G111+G150+G189+G228+G267+G306+G345</f>
        <v>36</v>
      </c>
      <c r="H30" s="15">
        <f t="shared" si="1"/>
        <v>190</v>
      </c>
      <c r="I30" s="639">
        <f>I72+I111+I150+I189+I228+I267+I306+I345+I384</f>
        <v>310.92299999999994</v>
      </c>
      <c r="J30" s="15">
        <f>SUM(C30-H30)</f>
        <v>16</v>
      </c>
      <c r="K30" s="639">
        <f>K72+K111+K150+K189+K228+K267+K306+K345+K384</f>
        <v>19.800999999999995</v>
      </c>
      <c r="P30" s="8"/>
      <c r="Q30" s="8"/>
      <c r="R30" s="8"/>
      <c r="S30" s="8"/>
      <c r="T30" s="8"/>
      <c r="U30" s="195"/>
      <c r="V30" s="195"/>
      <c r="W30" s="195"/>
      <c r="X30" s="195"/>
      <c r="Y30" s="195"/>
      <c r="Z30" s="195"/>
      <c r="AA30" s="195"/>
    </row>
    <row r="31" spans="1:27" ht="20.100000000000001" customHeight="1">
      <c r="A31" s="1382"/>
      <c r="B31" s="194" t="s">
        <v>159</v>
      </c>
      <c r="C31" s="1383"/>
      <c r="D31" s="15"/>
      <c r="E31" s="15"/>
      <c r="F31" s="15"/>
      <c r="G31" s="15"/>
      <c r="H31" s="15">
        <f t="shared" si="1"/>
        <v>0</v>
      </c>
      <c r="I31" s="643">
        <f>I73+I112+I151+I190+I229+I268+I307+I346</f>
        <v>0</v>
      </c>
      <c r="J31" s="15"/>
      <c r="K31" s="644">
        <f>K73+K112+K151+K190+K229+K268+K307+K346</f>
        <v>0</v>
      </c>
      <c r="P31" s="8"/>
      <c r="Q31" s="8"/>
      <c r="R31" s="8"/>
      <c r="S31" s="8"/>
      <c r="T31" s="8"/>
      <c r="U31" s="195"/>
      <c r="V31" s="195"/>
      <c r="W31" s="195"/>
      <c r="X31" s="195"/>
      <c r="Y31" s="195"/>
      <c r="Z31" s="195"/>
      <c r="AA31" s="195"/>
    </row>
    <row r="32" spans="1:27" ht="20.100000000000001" customHeight="1">
      <c r="A32" s="602" t="s">
        <v>146</v>
      </c>
      <c r="B32" s="194" t="s">
        <v>158</v>
      </c>
      <c r="C32" s="604">
        <f>C74+C113+C152+C191+C230+C269+C308+C347+C386</f>
        <v>281</v>
      </c>
      <c r="D32" s="406">
        <f>D74+D113+D152+D191+D230+D269+D308+D347+D386</f>
        <v>18</v>
      </c>
      <c r="E32" s="406">
        <f>E74+E113+E152+E191+E230+E269+E308+E347+E386</f>
        <v>12</v>
      </c>
      <c r="F32" s="406">
        <f>F74+F113+F152+F191+F230+F269+F308+F347+F386</f>
        <v>98</v>
      </c>
      <c r="G32" s="406">
        <f>G74+G113+G152+G191+G230+G269+G308+G347+G386</f>
        <v>120</v>
      </c>
      <c r="H32" s="15">
        <f t="shared" si="1"/>
        <v>248</v>
      </c>
      <c r="I32" s="639">
        <f>I74+I113+I152+I191+I230+I269+I308+I347+I386</f>
        <v>296.18700000000001</v>
      </c>
      <c r="J32" s="15">
        <f>SUM(C32-H32)</f>
        <v>33</v>
      </c>
      <c r="K32" s="639">
        <f>K74+K113+K152+K191+K230+K269+K308+K347+K386</f>
        <v>28.240000000000009</v>
      </c>
    </row>
    <row r="33" spans="1:16384" s="195" customFormat="1" ht="20.100000000000001" customHeight="1">
      <c r="A33" s="1384" t="s">
        <v>138</v>
      </c>
      <c r="B33" s="1385"/>
      <c r="C33" s="402">
        <f t="shared" ref="C33:K33" si="2">SUM(C26:C32)</f>
        <v>700</v>
      </c>
      <c r="D33" s="402">
        <f t="shared" si="2"/>
        <v>178</v>
      </c>
      <c r="E33" s="402">
        <f t="shared" si="2"/>
        <v>81</v>
      </c>
      <c r="F33" s="402">
        <f t="shared" si="2"/>
        <v>154</v>
      </c>
      <c r="G33" s="402">
        <f t="shared" si="2"/>
        <v>159</v>
      </c>
      <c r="H33" s="402">
        <f t="shared" si="2"/>
        <v>572</v>
      </c>
      <c r="I33" s="641">
        <f t="shared" si="2"/>
        <v>937.23500000000001</v>
      </c>
      <c r="J33" s="402">
        <f t="shared" si="2"/>
        <v>128</v>
      </c>
      <c r="K33" s="642">
        <f t="shared" si="2"/>
        <v>175.38569999999999</v>
      </c>
      <c r="L33" s="8"/>
      <c r="M33" s="8"/>
      <c r="N33" s="8"/>
      <c r="O33" s="8"/>
      <c r="P33" s="10"/>
      <c r="Q33" s="10"/>
      <c r="R33" s="10"/>
      <c r="S33" s="10"/>
      <c r="T33" s="10"/>
      <c r="U33" s="1"/>
      <c r="V33" s="1"/>
      <c r="W33" s="1"/>
      <c r="X33" s="1"/>
      <c r="Y33" s="1"/>
      <c r="Z33" s="1"/>
      <c r="AA33" s="1"/>
    </row>
    <row r="34" spans="1:16384" s="195" customFormat="1" ht="12" customHeight="1">
      <c r="A34" s="1388"/>
      <c r="B34" s="1389"/>
      <c r="C34" s="1389"/>
      <c r="D34" s="1389"/>
      <c r="E34" s="1389"/>
      <c r="F34" s="1389"/>
      <c r="G34" s="1389"/>
      <c r="H34" s="1389"/>
      <c r="I34" s="1389"/>
      <c r="J34" s="1389"/>
      <c r="K34" s="1390"/>
      <c r="L34" s="8"/>
      <c r="M34" s="8"/>
      <c r="N34" s="8"/>
      <c r="O34" s="8"/>
      <c r="P34" s="8"/>
      <c r="Q34" s="8"/>
      <c r="R34" s="8"/>
      <c r="S34" s="8"/>
      <c r="T34" s="8"/>
    </row>
    <row r="35" spans="1:16384" ht="18" customHeight="1">
      <c r="A35" s="1391" t="s">
        <v>864</v>
      </c>
      <c r="B35" s="1386" t="s">
        <v>865</v>
      </c>
      <c r="C35" s="1386" t="s">
        <v>133</v>
      </c>
      <c r="D35" s="1392" t="s">
        <v>1111</v>
      </c>
      <c r="E35" s="1392"/>
      <c r="F35" s="1392"/>
      <c r="G35" s="1392"/>
      <c r="H35" s="1392"/>
      <c r="I35" s="1392"/>
      <c r="J35" s="1392"/>
      <c r="K35" s="1392"/>
    </row>
    <row r="36" spans="1:16384" ht="18" customHeight="1">
      <c r="A36" s="1391"/>
      <c r="B36" s="1386"/>
      <c r="C36" s="1386"/>
      <c r="D36" s="1393" t="s">
        <v>134</v>
      </c>
      <c r="E36" s="1393"/>
      <c r="F36" s="1393"/>
      <c r="G36" s="1393"/>
      <c r="H36" s="1393"/>
      <c r="I36" s="1393"/>
      <c r="J36" s="1393" t="s">
        <v>135</v>
      </c>
      <c r="K36" s="1394"/>
    </row>
    <row r="37" spans="1:16384" ht="15" customHeight="1">
      <c r="A37" s="1391"/>
      <c r="B37" s="1386"/>
      <c r="C37" s="1386"/>
      <c r="D37" s="1386" t="s">
        <v>136</v>
      </c>
      <c r="E37" s="1386"/>
      <c r="F37" s="1386" t="s">
        <v>137</v>
      </c>
      <c r="G37" s="1386"/>
      <c r="H37" s="1386" t="s">
        <v>138</v>
      </c>
      <c r="I37" s="1387" t="s">
        <v>866</v>
      </c>
      <c r="J37" s="1386" t="s">
        <v>139</v>
      </c>
      <c r="K37" s="1387" t="s">
        <v>866</v>
      </c>
    </row>
    <row r="38" spans="1:16384" ht="15" customHeight="1">
      <c r="A38" s="1391"/>
      <c r="B38" s="1386"/>
      <c r="C38" s="1386"/>
      <c r="D38" s="603" t="s">
        <v>140</v>
      </c>
      <c r="E38" s="603" t="s">
        <v>141</v>
      </c>
      <c r="F38" s="603" t="s">
        <v>140</v>
      </c>
      <c r="G38" s="603" t="s">
        <v>141</v>
      </c>
      <c r="H38" s="1386"/>
      <c r="I38" s="1387"/>
      <c r="J38" s="1386"/>
      <c r="K38" s="1387"/>
    </row>
    <row r="39" spans="1:16384" ht="20.100000000000001" customHeight="1">
      <c r="A39" s="1381" t="s">
        <v>143</v>
      </c>
      <c r="B39" s="194" t="s">
        <v>158</v>
      </c>
      <c r="C39" s="1383">
        <f>C81+C120+C159+C198+C237+C276+C315+C354+C393</f>
        <v>106</v>
      </c>
      <c r="D39" s="406">
        <f>D81+D120+D159+D198+D237+D276+D315+D354+D393</f>
        <v>65</v>
      </c>
      <c r="E39" s="406">
        <f>E81+E120+E159+E198+E237+E276+E315+E354+E393</f>
        <v>20</v>
      </c>
      <c r="F39" s="406">
        <f>F81+F120+F159+F198+F237+F276+F315+F354+F393</f>
        <v>0</v>
      </c>
      <c r="G39" s="406">
        <f>G81+G120+G159+G198+G237+G276+G315+G354+G393</f>
        <v>0</v>
      </c>
      <c r="H39" s="15">
        <f t="shared" ref="H39:H45" si="3">D39+E39+F39+G39</f>
        <v>85</v>
      </c>
      <c r="I39" s="639">
        <f>I81+I120+I159+I198+I237+I276+I315+I354+I393</f>
        <v>212.54400000000001</v>
      </c>
      <c r="J39" s="15">
        <f>SUM(C39-H39)</f>
        <v>21</v>
      </c>
      <c r="K39" s="639">
        <f>K81+K120+K159+K198+K237+K276+K315+K354+K393</f>
        <v>36.606999999999999</v>
      </c>
    </row>
    <row r="40" spans="1:16384" ht="20.100000000000001" customHeight="1">
      <c r="A40" s="1382"/>
      <c r="B40" s="194" t="s">
        <v>159</v>
      </c>
      <c r="C40" s="1383"/>
      <c r="D40" s="15"/>
      <c r="E40" s="15"/>
      <c r="F40" s="15"/>
      <c r="G40" s="15"/>
      <c r="H40" s="15">
        <f t="shared" si="3"/>
        <v>0</v>
      </c>
      <c r="I40" s="643">
        <f>I82+I121+I160+I199+I238+I277+I316+I355</f>
        <v>0</v>
      </c>
      <c r="J40" s="15"/>
      <c r="K40" s="644">
        <f>K82+K121+K160+K199+K238+K277+K316+K355</f>
        <v>0</v>
      </c>
    </row>
    <row r="41" spans="1:16384" ht="20.100000000000001" customHeight="1">
      <c r="A41" s="1381" t="s">
        <v>144</v>
      </c>
      <c r="B41" s="194" t="s">
        <v>158</v>
      </c>
      <c r="C41" s="1383">
        <f>C83+C122+C161+C200+C239+C278+C317+C356+C395</f>
        <v>112</v>
      </c>
      <c r="D41" s="406">
        <f>D83+D122+D161+D200+D239+D278+D317+D356+D395</f>
        <v>24</v>
      </c>
      <c r="E41" s="406">
        <f>E83+E122+E161+E200+E239+E278+E317+E356+E395</f>
        <v>18</v>
      </c>
      <c r="F41" s="406">
        <f>F83+F122+F161+F200+F239+F278+F317+F356+F395</f>
        <v>11</v>
      </c>
      <c r="G41" s="406">
        <f>G83+G122+G161+G200+G239+G278+G317+G356+G395</f>
        <v>11</v>
      </c>
      <c r="H41" s="15">
        <f t="shared" si="3"/>
        <v>64</v>
      </c>
      <c r="I41" s="639">
        <f>I83+I122+I161+I200+I239+I278+I317+I356+I395</f>
        <v>132.404</v>
      </c>
      <c r="J41" s="15">
        <f>SUM(C41-H41)</f>
        <v>48</v>
      </c>
      <c r="K41" s="639">
        <f>K83+K122+K161+K200+K239+K278+K317+K356+K395</f>
        <v>72.28</v>
      </c>
    </row>
    <row r="42" spans="1:16384" ht="20.100000000000001" customHeight="1">
      <c r="A42" s="1382"/>
      <c r="B42" s="194" t="s">
        <v>159</v>
      </c>
      <c r="C42" s="1383"/>
      <c r="D42" s="406"/>
      <c r="E42" s="15"/>
      <c r="F42" s="15"/>
      <c r="G42" s="15"/>
      <c r="H42" s="15">
        <f t="shared" si="3"/>
        <v>0</v>
      </c>
      <c r="I42" s="643">
        <f>I84+I123+I162+I201+I240+I279+I318+I357</f>
        <v>0</v>
      </c>
      <c r="J42" s="15"/>
      <c r="K42" s="644">
        <f>K84+K123+K162+K201+K240+K279+K318+K357</f>
        <v>0</v>
      </c>
    </row>
    <row r="43" spans="1:16384" ht="20.100000000000001" customHeight="1">
      <c r="A43" s="1381" t="s">
        <v>145</v>
      </c>
      <c r="B43" s="194" t="s">
        <v>158</v>
      </c>
      <c r="C43" s="1383">
        <f>C85+C124+C163+C202+C241+C280+C319+C358+C397</f>
        <v>203</v>
      </c>
      <c r="D43" s="406">
        <f>D85+D124+D163+D202+D241+D280+D319+D358+D397</f>
        <v>73</v>
      </c>
      <c r="E43" s="406">
        <f>E85+E124+E163+E202+E241+E280+E319+E358+E397</f>
        <v>25</v>
      </c>
      <c r="F43" s="406">
        <f>F85+F124+F163+F202+F241+F280+F319+F358+F397</f>
        <v>52</v>
      </c>
      <c r="G43" s="15">
        <f>G85+G124+G163+G202+G241+G280+G319+G358</f>
        <v>41</v>
      </c>
      <c r="H43" s="15">
        <f t="shared" si="3"/>
        <v>191</v>
      </c>
      <c r="I43" s="639">
        <f>I85+I124+I163+I202+I241+I280+I319+I358+I397</f>
        <v>288.892</v>
      </c>
      <c r="J43" s="15">
        <f>SUM(C43-H43)</f>
        <v>12</v>
      </c>
      <c r="K43" s="639">
        <f>K85+K124+K163+K202+K241+K280+K319+K358+K397</f>
        <v>13.954000000000004</v>
      </c>
    </row>
    <row r="44" spans="1:16384" ht="20.100000000000001" customHeight="1">
      <c r="A44" s="1382"/>
      <c r="B44" s="194" t="s">
        <v>159</v>
      </c>
      <c r="C44" s="1383"/>
      <c r="D44" s="15"/>
      <c r="E44" s="15"/>
      <c r="F44" s="15"/>
      <c r="G44" s="15"/>
      <c r="H44" s="15">
        <f t="shared" si="3"/>
        <v>0</v>
      </c>
      <c r="I44" s="643">
        <f>I86+I125+I164+I203+I242+I281+I320+I359</f>
        <v>0</v>
      </c>
      <c r="J44" s="15"/>
      <c r="K44" s="644">
        <f>K86+K125+K164+K203+K242+K281+K320+K359</f>
        <v>0</v>
      </c>
    </row>
    <row r="45" spans="1:16384" ht="20.100000000000001" customHeight="1">
      <c r="A45" s="602" t="s">
        <v>146</v>
      </c>
      <c r="B45" s="194" t="s">
        <v>158</v>
      </c>
      <c r="C45" s="604">
        <f>C87+C126+C165+C204+C243+C282+C321+C360+C399</f>
        <v>279</v>
      </c>
      <c r="D45" s="406">
        <f>D87+D126+D165+D204+D243+D282+D321+D360+D399</f>
        <v>13</v>
      </c>
      <c r="E45" s="406">
        <f>E87+E126+E165+E204+E243+E282+E321+E360+E399</f>
        <v>4</v>
      </c>
      <c r="F45" s="406">
        <f>F87+F126+F165+F204+F243+F282+F321+F360+F399</f>
        <v>106</v>
      </c>
      <c r="G45" s="406">
        <f>G87+G126+G165+G204+G243+G282+G321+G360+G399</f>
        <v>133</v>
      </c>
      <c r="H45" s="15">
        <f t="shared" si="3"/>
        <v>256</v>
      </c>
      <c r="I45" s="639">
        <f>I87+I126+I165+I204+I243+I282+I321+I360+I399</f>
        <v>282.02300000000002</v>
      </c>
      <c r="J45" s="15">
        <f>SUM(C45-H45)</f>
        <v>23</v>
      </c>
      <c r="K45" s="639">
        <f>K87+K126+K165+K204+K243+K282+K321+K360+K399</f>
        <v>18.675000000000004</v>
      </c>
    </row>
    <row r="46" spans="1:16384" s="197" customFormat="1" ht="20.100000000000001" customHeight="1">
      <c r="A46" s="1402" t="s">
        <v>138</v>
      </c>
      <c r="B46" s="1403"/>
      <c r="C46" s="402">
        <f t="shared" ref="C46:K46" si="4">SUM(C39:C45)</f>
        <v>700</v>
      </c>
      <c r="D46" s="402">
        <f t="shared" si="4"/>
        <v>175</v>
      </c>
      <c r="E46" s="402">
        <f t="shared" si="4"/>
        <v>67</v>
      </c>
      <c r="F46" s="402">
        <f t="shared" si="4"/>
        <v>169</v>
      </c>
      <c r="G46" s="402">
        <f t="shared" si="4"/>
        <v>185</v>
      </c>
      <c r="H46" s="402">
        <f t="shared" si="4"/>
        <v>596</v>
      </c>
      <c r="I46" s="641">
        <f t="shared" si="4"/>
        <v>915.86299999999994</v>
      </c>
      <c r="J46" s="402">
        <f t="shared" si="4"/>
        <v>104</v>
      </c>
      <c r="K46" s="642">
        <f t="shared" si="4"/>
        <v>141.51600000000002</v>
      </c>
      <c r="L46" s="1404"/>
      <c r="M46" s="1405"/>
      <c r="N46" s="222"/>
      <c r="O46" s="222"/>
      <c r="P46" s="222"/>
      <c r="Q46" s="222"/>
      <c r="R46" s="222"/>
      <c r="S46" s="222"/>
      <c r="T46" s="645"/>
      <c r="U46" s="219"/>
      <c r="V46" s="646"/>
      <c r="W46" s="1400"/>
      <c r="X46" s="1401"/>
      <c r="Y46" s="196"/>
      <c r="Z46" s="196"/>
      <c r="AA46" s="196"/>
      <c r="AB46" s="196"/>
      <c r="AC46" s="196"/>
      <c r="AD46" s="196"/>
      <c r="AE46" s="647"/>
      <c r="AF46" s="196"/>
      <c r="AG46" s="646"/>
      <c r="AH46" s="1400"/>
      <c r="AI46" s="1401"/>
      <c r="AJ46" s="196"/>
      <c r="AK46" s="196"/>
      <c r="AL46" s="196"/>
      <c r="AM46" s="196"/>
      <c r="AN46" s="196"/>
      <c r="AO46" s="196"/>
      <c r="AP46" s="647"/>
      <c r="AQ46" s="196"/>
      <c r="AR46" s="646"/>
      <c r="AS46" s="1400"/>
      <c r="AT46" s="1401"/>
      <c r="AU46" s="196"/>
      <c r="AV46" s="196"/>
      <c r="AW46" s="196"/>
      <c r="AX46" s="196"/>
      <c r="AY46" s="196"/>
      <c r="AZ46" s="196"/>
      <c r="BA46" s="647"/>
      <c r="BB46" s="196"/>
      <c r="BC46" s="646"/>
      <c r="BD46" s="1400"/>
      <c r="BE46" s="1401"/>
      <c r="BF46" s="196"/>
      <c r="BG46" s="196"/>
      <c r="BH46" s="196"/>
      <c r="BI46" s="196"/>
      <c r="BJ46" s="196"/>
      <c r="BK46" s="196"/>
      <c r="BL46" s="647"/>
      <c r="BM46" s="196"/>
      <c r="BN46" s="646"/>
      <c r="BO46" s="1400"/>
      <c r="BP46" s="1401"/>
      <c r="BQ46" s="196"/>
      <c r="BR46" s="196"/>
      <c r="BS46" s="196"/>
      <c r="BT46" s="196"/>
      <c r="BU46" s="196"/>
      <c r="BV46" s="196"/>
      <c r="BW46" s="647"/>
      <c r="BX46" s="196"/>
      <c r="BY46" s="646"/>
      <c r="BZ46" s="1400"/>
      <c r="CA46" s="1401"/>
      <c r="CB46" s="196"/>
      <c r="CC46" s="196"/>
      <c r="CD46" s="196"/>
      <c r="CE46" s="196"/>
      <c r="CF46" s="196"/>
      <c r="CG46" s="196"/>
      <c r="CH46" s="647"/>
      <c r="CI46" s="196"/>
      <c r="CJ46" s="646"/>
      <c r="CK46" s="1400"/>
      <c r="CL46" s="1401"/>
      <c r="CM46" s="196"/>
      <c r="CN46" s="196"/>
      <c r="CO46" s="196"/>
      <c r="CP46" s="196"/>
      <c r="CQ46" s="196"/>
      <c r="CR46" s="196"/>
      <c r="CS46" s="647"/>
      <c r="CT46" s="196"/>
      <c r="CU46" s="646"/>
      <c r="CV46" s="1400"/>
      <c r="CW46" s="1401"/>
      <c r="CX46" s="196"/>
      <c r="CY46" s="196"/>
      <c r="CZ46" s="196"/>
      <c r="DA46" s="196"/>
      <c r="DB46" s="196"/>
      <c r="DC46" s="196"/>
      <c r="DD46" s="647"/>
      <c r="DE46" s="196"/>
      <c r="DF46" s="646"/>
      <c r="DG46" s="1400"/>
      <c r="DH46" s="1401"/>
      <c r="DI46" s="196"/>
      <c r="DJ46" s="196"/>
      <c r="DK46" s="196"/>
      <c r="DL46" s="196"/>
      <c r="DM46" s="196"/>
      <c r="DN46" s="196"/>
      <c r="DO46" s="647"/>
      <c r="DP46" s="196"/>
      <c r="DQ46" s="646"/>
      <c r="DR46" s="1400"/>
      <c r="DS46" s="1401"/>
      <c r="DT46" s="196"/>
      <c r="DU46" s="196"/>
      <c r="DV46" s="196"/>
      <c r="DW46" s="196"/>
      <c r="DX46" s="196"/>
      <c r="DY46" s="196"/>
      <c r="DZ46" s="647"/>
      <c r="EA46" s="196"/>
      <c r="EB46" s="646"/>
      <c r="EC46" s="1400"/>
      <c r="ED46" s="1401"/>
      <c r="EE46" s="196"/>
      <c r="EF46" s="196"/>
      <c r="EG46" s="196"/>
      <c r="EH46" s="196"/>
      <c r="EI46" s="196"/>
      <c r="EJ46" s="196"/>
      <c r="EK46" s="647"/>
      <c r="EL46" s="196"/>
      <c r="EM46" s="646"/>
      <c r="EN46" s="1400"/>
      <c r="EO46" s="1401"/>
      <c r="EP46" s="196"/>
      <c r="EQ46" s="196"/>
      <c r="ER46" s="196"/>
      <c r="ES46" s="196"/>
      <c r="ET46" s="196"/>
      <c r="EU46" s="196"/>
      <c r="EV46" s="647"/>
      <c r="EW46" s="196"/>
      <c r="EX46" s="646"/>
      <c r="EY46" s="1400"/>
      <c r="EZ46" s="1401"/>
      <c r="FA46" s="196"/>
      <c r="FB46" s="196"/>
      <c r="FC46" s="196"/>
      <c r="FD46" s="196"/>
      <c r="FE46" s="196"/>
      <c r="FF46" s="196"/>
      <c r="FG46" s="647"/>
      <c r="FH46" s="196"/>
      <c r="FI46" s="646"/>
      <c r="FJ46" s="1400"/>
      <c r="FK46" s="1401"/>
      <c r="FL46" s="196"/>
      <c r="FM46" s="196"/>
      <c r="FN46" s="196"/>
      <c r="FO46" s="196"/>
      <c r="FP46" s="196"/>
      <c r="FQ46" s="196"/>
      <c r="FR46" s="647"/>
      <c r="FS46" s="196"/>
      <c r="FT46" s="646"/>
      <c r="FU46" s="1400"/>
      <c r="FV46" s="1401"/>
      <c r="FW46" s="196"/>
      <c r="FX46" s="196"/>
      <c r="FY46" s="196"/>
      <c r="FZ46" s="196"/>
      <c r="GA46" s="196"/>
      <c r="GB46" s="196"/>
      <c r="GC46" s="647"/>
      <c r="GD46" s="196"/>
      <c r="GE46" s="646"/>
      <c r="GF46" s="1400"/>
      <c r="GG46" s="1401"/>
      <c r="GH46" s="196"/>
      <c r="GI46" s="196"/>
      <c r="GJ46" s="196"/>
      <c r="GK46" s="196"/>
      <c r="GL46" s="196"/>
      <c r="GM46" s="196"/>
      <c r="GN46" s="647"/>
      <c r="GO46" s="196"/>
      <c r="GP46" s="646"/>
      <c r="GQ46" s="1400"/>
      <c r="GR46" s="1401"/>
      <c r="GS46" s="196"/>
      <c r="GT46" s="196"/>
      <c r="GU46" s="196"/>
      <c r="GV46" s="196"/>
      <c r="GW46" s="196"/>
      <c r="GX46" s="196"/>
      <c r="GY46" s="647"/>
      <c r="GZ46" s="196"/>
      <c r="HA46" s="646"/>
      <c r="HB46" s="1400"/>
      <c r="HC46" s="1401"/>
      <c r="HD46" s="196"/>
      <c r="HE46" s="196"/>
      <c r="HF46" s="196"/>
      <c r="HG46" s="196"/>
      <c r="HH46" s="196"/>
      <c r="HI46" s="196"/>
      <c r="HJ46" s="647"/>
      <c r="HK46" s="196"/>
      <c r="HL46" s="646"/>
      <c r="HM46" s="1400"/>
      <c r="HN46" s="1401"/>
      <c r="HO46" s="196"/>
      <c r="HP46" s="196"/>
      <c r="HQ46" s="196"/>
      <c r="HR46" s="196"/>
      <c r="HS46" s="196"/>
      <c r="HT46" s="196"/>
      <c r="HU46" s="647"/>
      <c r="HV46" s="196"/>
      <c r="HW46" s="646"/>
      <c r="HX46" s="1400"/>
      <c r="HY46" s="1401"/>
      <c r="HZ46" s="196"/>
      <c r="IA46" s="196"/>
      <c r="IB46" s="196"/>
      <c r="IC46" s="196"/>
      <c r="ID46" s="196"/>
      <c r="IE46" s="196"/>
      <c r="IF46" s="647"/>
      <c r="IG46" s="196"/>
      <c r="IH46" s="646"/>
      <c r="II46" s="1400"/>
      <c r="IJ46" s="1401"/>
      <c r="IK46" s="196"/>
      <c r="IL46" s="196"/>
      <c r="IM46" s="196"/>
      <c r="IN46" s="196"/>
      <c r="IO46" s="196"/>
      <c r="IP46" s="196"/>
      <c r="IQ46" s="647"/>
      <c r="IR46" s="196"/>
      <c r="IS46" s="646"/>
      <c r="IT46" s="1400"/>
      <c r="IU46" s="1401"/>
      <c r="IV46" s="196"/>
      <c r="IW46" s="196"/>
      <c r="IX46" s="196"/>
      <c r="IY46" s="196"/>
      <c r="IZ46" s="196"/>
      <c r="JA46" s="196"/>
      <c r="JB46" s="647"/>
      <c r="JC46" s="196"/>
      <c r="JD46" s="646"/>
      <c r="JE46" s="1400"/>
      <c r="JF46" s="1401"/>
      <c r="JG46" s="196"/>
      <c r="JH46" s="196"/>
      <c r="JI46" s="196"/>
      <c r="JJ46" s="196"/>
      <c r="JK46" s="196"/>
      <c r="JL46" s="196"/>
      <c r="JM46" s="647"/>
      <c r="JN46" s="196"/>
      <c r="JO46" s="646"/>
      <c r="JP46" s="1400"/>
      <c r="JQ46" s="1401"/>
      <c r="JR46" s="196"/>
      <c r="JS46" s="196"/>
      <c r="JT46" s="196"/>
      <c r="JU46" s="196"/>
      <c r="JV46" s="196"/>
      <c r="JW46" s="196"/>
      <c r="JX46" s="647"/>
      <c r="JY46" s="196"/>
      <c r="JZ46" s="646"/>
      <c r="KA46" s="1400"/>
      <c r="KB46" s="1401"/>
      <c r="KC46" s="196"/>
      <c r="KD46" s="196"/>
      <c r="KE46" s="196"/>
      <c r="KF46" s="196"/>
      <c r="KG46" s="196"/>
      <c r="KH46" s="196"/>
      <c r="KI46" s="647"/>
      <c r="KJ46" s="196"/>
      <c r="KK46" s="646"/>
      <c r="KL46" s="1400"/>
      <c r="KM46" s="1401"/>
      <c r="KN46" s="196"/>
      <c r="KO46" s="196"/>
      <c r="KP46" s="196"/>
      <c r="KQ46" s="196"/>
      <c r="KR46" s="196"/>
      <c r="KS46" s="196"/>
      <c r="KT46" s="647"/>
      <c r="KU46" s="196"/>
      <c r="KV46" s="646"/>
      <c r="KW46" s="1400"/>
      <c r="KX46" s="1401"/>
      <c r="KY46" s="196"/>
      <c r="KZ46" s="196"/>
      <c r="LA46" s="196"/>
      <c r="LB46" s="196"/>
      <c r="LC46" s="196"/>
      <c r="LD46" s="196"/>
      <c r="LE46" s="647"/>
      <c r="LF46" s="196"/>
      <c r="LG46" s="646"/>
      <c r="LH46" s="1400"/>
      <c r="LI46" s="1401"/>
      <c r="LJ46" s="196"/>
      <c r="LK46" s="196"/>
      <c r="LL46" s="196"/>
      <c r="LM46" s="196"/>
      <c r="LN46" s="196"/>
      <c r="LO46" s="196"/>
      <c r="LP46" s="647"/>
      <c r="LQ46" s="196"/>
      <c r="LR46" s="646"/>
      <c r="LS46" s="1400"/>
      <c r="LT46" s="1401"/>
      <c r="LU46" s="196"/>
      <c r="LV46" s="196"/>
      <c r="LW46" s="196"/>
      <c r="LX46" s="196"/>
      <c r="LY46" s="196"/>
      <c r="LZ46" s="196"/>
      <c r="MA46" s="647"/>
      <c r="MB46" s="196"/>
      <c r="MC46" s="646"/>
      <c r="MD46" s="1400"/>
      <c r="ME46" s="1401"/>
      <c r="MF46" s="196"/>
      <c r="MG46" s="196"/>
      <c r="MH46" s="196"/>
      <c r="MI46" s="196"/>
      <c r="MJ46" s="196"/>
      <c r="MK46" s="196"/>
      <c r="ML46" s="647"/>
      <c r="MM46" s="196"/>
      <c r="MN46" s="646"/>
      <c r="MO46" s="1400"/>
      <c r="MP46" s="1401"/>
      <c r="MQ46" s="196"/>
      <c r="MR46" s="196"/>
      <c r="MS46" s="196"/>
      <c r="MT46" s="196"/>
      <c r="MU46" s="196"/>
      <c r="MV46" s="196"/>
      <c r="MW46" s="647"/>
      <c r="MX46" s="196"/>
      <c r="MY46" s="646"/>
      <c r="MZ46" s="1400"/>
      <c r="NA46" s="1401"/>
      <c r="NB46" s="196"/>
      <c r="NC46" s="196"/>
      <c r="ND46" s="196"/>
      <c r="NE46" s="196"/>
      <c r="NF46" s="196"/>
      <c r="NG46" s="196"/>
      <c r="NH46" s="647"/>
      <c r="NI46" s="196"/>
      <c r="NJ46" s="646"/>
      <c r="NK46" s="1400"/>
      <c r="NL46" s="1401"/>
      <c r="NM46" s="196"/>
      <c r="NN46" s="196"/>
      <c r="NO46" s="196"/>
      <c r="NP46" s="196"/>
      <c r="NQ46" s="196"/>
      <c r="NR46" s="196"/>
      <c r="NS46" s="647"/>
      <c r="NT46" s="196"/>
      <c r="NU46" s="646"/>
      <c r="NV46" s="1400"/>
      <c r="NW46" s="1401"/>
      <c r="NX46" s="196"/>
      <c r="NY46" s="196"/>
      <c r="NZ46" s="196"/>
      <c r="OA46" s="196"/>
      <c r="OB46" s="196"/>
      <c r="OC46" s="196"/>
      <c r="OD46" s="647"/>
      <c r="OE46" s="196"/>
      <c r="OF46" s="646"/>
      <c r="OG46" s="1400"/>
      <c r="OH46" s="1401"/>
      <c r="OI46" s="196"/>
      <c r="OJ46" s="196"/>
      <c r="OK46" s="196"/>
      <c r="OL46" s="196"/>
      <c r="OM46" s="196"/>
      <c r="ON46" s="196"/>
      <c r="OO46" s="647"/>
      <c r="OP46" s="196"/>
      <c r="OQ46" s="646"/>
      <c r="OR46" s="1400"/>
      <c r="OS46" s="1401"/>
      <c r="OT46" s="196"/>
      <c r="OU46" s="196"/>
      <c r="OV46" s="196"/>
      <c r="OW46" s="196"/>
      <c r="OX46" s="196"/>
      <c r="OY46" s="196"/>
      <c r="OZ46" s="647"/>
      <c r="PA46" s="196"/>
      <c r="PB46" s="646"/>
      <c r="PC46" s="1400"/>
      <c r="PD46" s="1401"/>
      <c r="PE46" s="196"/>
      <c r="PF46" s="196"/>
      <c r="PG46" s="196"/>
      <c r="PH46" s="196"/>
      <c r="PI46" s="196"/>
      <c r="PJ46" s="196"/>
      <c r="PK46" s="647"/>
      <c r="PL46" s="196"/>
      <c r="PM46" s="646"/>
      <c r="PN46" s="1400"/>
      <c r="PO46" s="1401"/>
      <c r="PP46" s="196"/>
      <c r="PQ46" s="196"/>
      <c r="PR46" s="196"/>
      <c r="PS46" s="196"/>
      <c r="PT46" s="196"/>
      <c r="PU46" s="196"/>
      <c r="PV46" s="647"/>
      <c r="PW46" s="196"/>
      <c r="PX46" s="646"/>
      <c r="PY46" s="1400"/>
      <c r="PZ46" s="1401"/>
      <c r="QA46" s="196"/>
      <c r="QB46" s="196"/>
      <c r="QC46" s="196"/>
      <c r="QD46" s="196"/>
      <c r="QE46" s="196"/>
      <c r="QF46" s="196"/>
      <c r="QG46" s="647"/>
      <c r="QH46" s="196"/>
      <c r="QI46" s="646"/>
      <c r="QJ46" s="1400"/>
      <c r="QK46" s="1401"/>
      <c r="QL46" s="196"/>
      <c r="QM46" s="196"/>
      <c r="QN46" s="196"/>
      <c r="QO46" s="196"/>
      <c r="QP46" s="196"/>
      <c r="QQ46" s="196"/>
      <c r="QR46" s="647"/>
      <c r="QS46" s="196"/>
      <c r="QT46" s="646"/>
      <c r="QU46" s="1400"/>
      <c r="QV46" s="1401"/>
      <c r="QW46" s="196"/>
      <c r="QX46" s="196"/>
      <c r="QY46" s="196"/>
      <c r="QZ46" s="196"/>
      <c r="RA46" s="196"/>
      <c r="RB46" s="196"/>
      <c r="RC46" s="647"/>
      <c r="RD46" s="196"/>
      <c r="RE46" s="646"/>
      <c r="RF46" s="1400"/>
      <c r="RG46" s="1401"/>
      <c r="RH46" s="196"/>
      <c r="RI46" s="196"/>
      <c r="RJ46" s="196"/>
      <c r="RK46" s="196"/>
      <c r="RL46" s="196"/>
      <c r="RM46" s="196"/>
      <c r="RN46" s="647"/>
      <c r="RO46" s="196"/>
      <c r="RP46" s="646"/>
      <c r="RQ46" s="1400"/>
      <c r="RR46" s="1401"/>
      <c r="RS46" s="196"/>
      <c r="RT46" s="196"/>
      <c r="RU46" s="196"/>
      <c r="RV46" s="196"/>
      <c r="RW46" s="196"/>
      <c r="RX46" s="196"/>
      <c r="RY46" s="647"/>
      <c r="RZ46" s="196"/>
      <c r="SA46" s="646"/>
      <c r="SB46" s="1400"/>
      <c r="SC46" s="1401"/>
      <c r="SD46" s="196"/>
      <c r="SE46" s="196"/>
      <c r="SF46" s="196"/>
      <c r="SG46" s="196"/>
      <c r="SH46" s="196"/>
      <c r="SI46" s="196"/>
      <c r="SJ46" s="647"/>
      <c r="SK46" s="196"/>
      <c r="SL46" s="646"/>
      <c r="SM46" s="1400"/>
      <c r="SN46" s="1401"/>
      <c r="SO46" s="196"/>
      <c r="SP46" s="196"/>
      <c r="SQ46" s="196"/>
      <c r="SR46" s="196"/>
      <c r="SS46" s="196"/>
      <c r="ST46" s="196"/>
      <c r="SU46" s="647"/>
      <c r="SV46" s="196"/>
      <c r="SW46" s="646"/>
      <c r="SX46" s="1400"/>
      <c r="SY46" s="1401"/>
      <c r="SZ46" s="196"/>
      <c r="TA46" s="196"/>
      <c r="TB46" s="196"/>
      <c r="TC46" s="196"/>
      <c r="TD46" s="196"/>
      <c r="TE46" s="196"/>
      <c r="TF46" s="647"/>
      <c r="TG46" s="196"/>
      <c r="TH46" s="646"/>
      <c r="TI46" s="1400"/>
      <c r="TJ46" s="1401"/>
      <c r="TK46" s="196"/>
      <c r="TL46" s="196"/>
      <c r="TM46" s="196"/>
      <c r="TN46" s="196"/>
      <c r="TO46" s="196"/>
      <c r="TP46" s="196"/>
      <c r="TQ46" s="647"/>
      <c r="TR46" s="196"/>
      <c r="TS46" s="646"/>
      <c r="TT46" s="1400"/>
      <c r="TU46" s="1401"/>
      <c r="TV46" s="196"/>
      <c r="TW46" s="196"/>
      <c r="TX46" s="196"/>
      <c r="TY46" s="196"/>
      <c r="TZ46" s="196"/>
      <c r="UA46" s="196"/>
      <c r="UB46" s="647"/>
      <c r="UC46" s="196"/>
      <c r="UD46" s="646"/>
      <c r="UE46" s="1400"/>
      <c r="UF46" s="1401"/>
      <c r="UG46" s="196"/>
      <c r="UH46" s="196"/>
      <c r="UI46" s="196"/>
      <c r="UJ46" s="196"/>
      <c r="UK46" s="196"/>
      <c r="UL46" s="196"/>
      <c r="UM46" s="647"/>
      <c r="UN46" s="196"/>
      <c r="UO46" s="646"/>
      <c r="UP46" s="1400"/>
      <c r="UQ46" s="1401"/>
      <c r="UR46" s="196"/>
      <c r="US46" s="196"/>
      <c r="UT46" s="196"/>
      <c r="UU46" s="196"/>
      <c r="UV46" s="196"/>
      <c r="UW46" s="196"/>
      <c r="UX46" s="647"/>
      <c r="UY46" s="196"/>
      <c r="UZ46" s="646"/>
      <c r="VA46" s="1400"/>
      <c r="VB46" s="1401"/>
      <c r="VC46" s="196"/>
      <c r="VD46" s="196"/>
      <c r="VE46" s="196"/>
      <c r="VF46" s="196"/>
      <c r="VG46" s="196"/>
      <c r="VH46" s="196"/>
      <c r="VI46" s="647"/>
      <c r="VJ46" s="196"/>
      <c r="VK46" s="646"/>
      <c r="VL46" s="1400"/>
      <c r="VM46" s="1401"/>
      <c r="VN46" s="196"/>
      <c r="VO46" s="196"/>
      <c r="VP46" s="196"/>
      <c r="VQ46" s="196"/>
      <c r="VR46" s="196"/>
      <c r="VS46" s="196"/>
      <c r="VT46" s="647"/>
      <c r="VU46" s="196"/>
      <c r="VV46" s="646"/>
      <c r="VW46" s="1400"/>
      <c r="VX46" s="1401"/>
      <c r="VY46" s="196"/>
      <c r="VZ46" s="196"/>
      <c r="WA46" s="196"/>
      <c r="WB46" s="196"/>
      <c r="WC46" s="196"/>
      <c r="WD46" s="196"/>
      <c r="WE46" s="647"/>
      <c r="WF46" s="196"/>
      <c r="WG46" s="646"/>
      <c r="WH46" s="1400"/>
      <c r="WI46" s="1401"/>
      <c r="WJ46" s="196"/>
      <c r="WK46" s="196"/>
      <c r="WL46" s="196"/>
      <c r="WM46" s="196"/>
      <c r="WN46" s="196"/>
      <c r="WO46" s="196"/>
      <c r="WP46" s="647"/>
      <c r="WQ46" s="196"/>
      <c r="WR46" s="646"/>
      <c r="WS46" s="1400"/>
      <c r="WT46" s="1401"/>
      <c r="WU46" s="196"/>
      <c r="WV46" s="196"/>
      <c r="WW46" s="196"/>
      <c r="WX46" s="196"/>
      <c r="WY46" s="196"/>
      <c r="WZ46" s="196"/>
      <c r="XA46" s="647"/>
      <c r="XB46" s="196"/>
      <c r="XC46" s="646"/>
      <c r="XD46" s="1400"/>
      <c r="XE46" s="1401"/>
      <c r="XF46" s="196"/>
      <c r="XG46" s="196"/>
      <c r="XH46" s="196"/>
      <c r="XI46" s="196"/>
      <c r="XJ46" s="196"/>
      <c r="XK46" s="196"/>
      <c r="XL46" s="647"/>
      <c r="XM46" s="196"/>
      <c r="XN46" s="646"/>
      <c r="XO46" s="1400"/>
      <c r="XP46" s="1401"/>
      <c r="XQ46" s="196"/>
      <c r="XR46" s="196"/>
      <c r="XS46" s="196"/>
      <c r="XT46" s="196"/>
      <c r="XU46" s="196"/>
      <c r="XV46" s="196"/>
      <c r="XW46" s="647"/>
      <c r="XX46" s="196"/>
      <c r="XY46" s="646"/>
      <c r="XZ46" s="1400"/>
      <c r="YA46" s="1401"/>
      <c r="YB46" s="196"/>
      <c r="YC46" s="196"/>
      <c r="YD46" s="196"/>
      <c r="YE46" s="196"/>
      <c r="YF46" s="196"/>
      <c r="YG46" s="196"/>
      <c r="YH46" s="647"/>
      <c r="YI46" s="196"/>
      <c r="YJ46" s="646"/>
      <c r="YK46" s="1400"/>
      <c r="YL46" s="1401"/>
      <c r="YM46" s="196"/>
      <c r="YN46" s="196"/>
      <c r="YO46" s="196"/>
      <c r="YP46" s="196"/>
      <c r="YQ46" s="196"/>
      <c r="YR46" s="196"/>
      <c r="YS46" s="647"/>
      <c r="YT46" s="196"/>
      <c r="YU46" s="646"/>
      <c r="YV46" s="1400"/>
      <c r="YW46" s="1401"/>
      <c r="YX46" s="196"/>
      <c r="YY46" s="196"/>
      <c r="YZ46" s="196"/>
      <c r="ZA46" s="196"/>
      <c r="ZB46" s="196"/>
      <c r="ZC46" s="196"/>
      <c r="ZD46" s="647"/>
      <c r="ZE46" s="196"/>
      <c r="ZF46" s="646"/>
      <c r="ZG46" s="1400"/>
      <c r="ZH46" s="1401"/>
      <c r="ZI46" s="196"/>
      <c r="ZJ46" s="196"/>
      <c r="ZK46" s="196"/>
      <c r="ZL46" s="196"/>
      <c r="ZM46" s="196"/>
      <c r="ZN46" s="196"/>
      <c r="ZO46" s="647"/>
      <c r="ZP46" s="196"/>
      <c r="ZQ46" s="646"/>
      <c r="ZR46" s="1400"/>
      <c r="ZS46" s="1401"/>
      <c r="ZT46" s="196"/>
      <c r="ZU46" s="196"/>
      <c r="ZV46" s="196"/>
      <c r="ZW46" s="196"/>
      <c r="ZX46" s="196"/>
      <c r="ZY46" s="196"/>
      <c r="ZZ46" s="647"/>
      <c r="AAA46" s="196"/>
      <c r="AAB46" s="646"/>
      <c r="AAC46" s="1400"/>
      <c r="AAD46" s="1401"/>
      <c r="AAE46" s="196"/>
      <c r="AAF46" s="196"/>
      <c r="AAG46" s="196"/>
      <c r="AAH46" s="196"/>
      <c r="AAI46" s="196"/>
      <c r="AAJ46" s="196"/>
      <c r="AAK46" s="647"/>
      <c r="AAL46" s="196"/>
      <c r="AAM46" s="646"/>
      <c r="AAN46" s="1400"/>
      <c r="AAO46" s="1401"/>
      <c r="AAP46" s="196"/>
      <c r="AAQ46" s="196"/>
      <c r="AAR46" s="196"/>
      <c r="AAS46" s="196"/>
      <c r="AAT46" s="196"/>
      <c r="AAU46" s="196"/>
      <c r="AAV46" s="647"/>
      <c r="AAW46" s="196"/>
      <c r="AAX46" s="646"/>
      <c r="AAY46" s="1400"/>
      <c r="AAZ46" s="1401"/>
      <c r="ABA46" s="196"/>
      <c r="ABB46" s="196"/>
      <c r="ABC46" s="196"/>
      <c r="ABD46" s="196"/>
      <c r="ABE46" s="196"/>
      <c r="ABF46" s="196"/>
      <c r="ABG46" s="647"/>
      <c r="ABH46" s="196"/>
      <c r="ABI46" s="646"/>
      <c r="ABJ46" s="1400"/>
      <c r="ABK46" s="1401"/>
      <c r="ABL46" s="196"/>
      <c r="ABM46" s="196"/>
      <c r="ABN46" s="196"/>
      <c r="ABO46" s="196"/>
      <c r="ABP46" s="196"/>
      <c r="ABQ46" s="196"/>
      <c r="ABR46" s="647"/>
      <c r="ABS46" s="196"/>
      <c r="ABT46" s="646"/>
      <c r="ABU46" s="1400"/>
      <c r="ABV46" s="1401"/>
      <c r="ABW46" s="196"/>
      <c r="ABX46" s="196"/>
      <c r="ABY46" s="196"/>
      <c r="ABZ46" s="196"/>
      <c r="ACA46" s="196"/>
      <c r="ACB46" s="196"/>
      <c r="ACC46" s="647"/>
      <c r="ACD46" s="196"/>
      <c r="ACE46" s="646"/>
      <c r="ACF46" s="1400"/>
      <c r="ACG46" s="1401"/>
      <c r="ACH46" s="196"/>
      <c r="ACI46" s="196"/>
      <c r="ACJ46" s="196"/>
      <c r="ACK46" s="196"/>
      <c r="ACL46" s="196"/>
      <c r="ACM46" s="196"/>
      <c r="ACN46" s="647"/>
      <c r="ACO46" s="196"/>
      <c r="ACP46" s="646"/>
      <c r="ACQ46" s="1400"/>
      <c r="ACR46" s="1401"/>
      <c r="ACS46" s="196"/>
      <c r="ACT46" s="196"/>
      <c r="ACU46" s="196"/>
      <c r="ACV46" s="196"/>
      <c r="ACW46" s="196"/>
      <c r="ACX46" s="196"/>
      <c r="ACY46" s="647"/>
      <c r="ACZ46" s="196"/>
      <c r="ADA46" s="646"/>
      <c r="ADB46" s="1400"/>
      <c r="ADC46" s="1401"/>
      <c r="ADD46" s="196"/>
      <c r="ADE46" s="196"/>
      <c r="ADF46" s="196"/>
      <c r="ADG46" s="196"/>
      <c r="ADH46" s="196"/>
      <c r="ADI46" s="196"/>
      <c r="ADJ46" s="647"/>
      <c r="ADK46" s="196"/>
      <c r="ADL46" s="646"/>
      <c r="ADM46" s="1400"/>
      <c r="ADN46" s="1401"/>
      <c r="ADO46" s="196"/>
      <c r="ADP46" s="196"/>
      <c r="ADQ46" s="196"/>
      <c r="ADR46" s="196"/>
      <c r="ADS46" s="196"/>
      <c r="ADT46" s="196"/>
      <c r="ADU46" s="647"/>
      <c r="ADV46" s="196"/>
      <c r="ADW46" s="646"/>
      <c r="ADX46" s="1400"/>
      <c r="ADY46" s="1401"/>
      <c r="ADZ46" s="196"/>
      <c r="AEA46" s="196"/>
      <c r="AEB46" s="196"/>
      <c r="AEC46" s="196"/>
      <c r="AED46" s="196"/>
      <c r="AEE46" s="196"/>
      <c r="AEF46" s="647"/>
      <c r="AEG46" s="196"/>
      <c r="AEH46" s="646"/>
      <c r="AEI46" s="1400"/>
      <c r="AEJ46" s="1401"/>
      <c r="AEK46" s="196"/>
      <c r="AEL46" s="196"/>
      <c r="AEM46" s="196"/>
      <c r="AEN46" s="196"/>
      <c r="AEO46" s="196"/>
      <c r="AEP46" s="196"/>
      <c r="AEQ46" s="647"/>
      <c r="AER46" s="196"/>
      <c r="AES46" s="646"/>
      <c r="AET46" s="1400"/>
      <c r="AEU46" s="1401"/>
      <c r="AEV46" s="196"/>
      <c r="AEW46" s="196"/>
      <c r="AEX46" s="196"/>
      <c r="AEY46" s="196"/>
      <c r="AEZ46" s="196"/>
      <c r="AFA46" s="196"/>
      <c r="AFB46" s="647"/>
      <c r="AFC46" s="196"/>
      <c r="AFD46" s="646"/>
      <c r="AFE46" s="1400"/>
      <c r="AFF46" s="1401"/>
      <c r="AFG46" s="196"/>
      <c r="AFH46" s="196"/>
      <c r="AFI46" s="196"/>
      <c r="AFJ46" s="196"/>
      <c r="AFK46" s="196"/>
      <c r="AFL46" s="196"/>
      <c r="AFM46" s="647"/>
      <c r="AFN46" s="196"/>
      <c r="AFO46" s="646"/>
      <c r="AFP46" s="1400"/>
      <c r="AFQ46" s="1401"/>
      <c r="AFR46" s="196"/>
      <c r="AFS46" s="196"/>
      <c r="AFT46" s="196"/>
      <c r="AFU46" s="196"/>
      <c r="AFV46" s="196"/>
      <c r="AFW46" s="196"/>
      <c r="AFX46" s="647"/>
      <c r="AFY46" s="196"/>
      <c r="AFZ46" s="646"/>
      <c r="AGA46" s="1400"/>
      <c r="AGB46" s="1401"/>
      <c r="AGC46" s="196"/>
      <c r="AGD46" s="196"/>
      <c r="AGE46" s="196"/>
      <c r="AGF46" s="196"/>
      <c r="AGG46" s="196"/>
      <c r="AGH46" s="196"/>
      <c r="AGI46" s="647"/>
      <c r="AGJ46" s="196"/>
      <c r="AGK46" s="646"/>
      <c r="AGL46" s="1400"/>
      <c r="AGM46" s="1401"/>
      <c r="AGN46" s="196"/>
      <c r="AGO46" s="196"/>
      <c r="AGP46" s="196"/>
      <c r="AGQ46" s="196"/>
      <c r="AGR46" s="196"/>
      <c r="AGS46" s="196"/>
      <c r="AGT46" s="647"/>
      <c r="AGU46" s="196"/>
      <c r="AGV46" s="646"/>
      <c r="AGW46" s="1400"/>
      <c r="AGX46" s="1401"/>
      <c r="AGY46" s="196"/>
      <c r="AGZ46" s="196"/>
      <c r="AHA46" s="196"/>
      <c r="AHB46" s="196"/>
      <c r="AHC46" s="196"/>
      <c r="AHD46" s="196"/>
      <c r="AHE46" s="647"/>
      <c r="AHF46" s="196"/>
      <c r="AHG46" s="646"/>
      <c r="AHH46" s="1400"/>
      <c r="AHI46" s="1401"/>
      <c r="AHJ46" s="196"/>
      <c r="AHK46" s="196"/>
      <c r="AHL46" s="196"/>
      <c r="AHM46" s="196"/>
      <c r="AHN46" s="196"/>
      <c r="AHO46" s="196"/>
      <c r="AHP46" s="647"/>
      <c r="AHQ46" s="196"/>
      <c r="AHR46" s="646"/>
      <c r="AHS46" s="1400"/>
      <c r="AHT46" s="1401"/>
      <c r="AHU46" s="196"/>
      <c r="AHV46" s="196"/>
      <c r="AHW46" s="196"/>
      <c r="AHX46" s="196"/>
      <c r="AHY46" s="196"/>
      <c r="AHZ46" s="196"/>
      <c r="AIA46" s="647"/>
      <c r="AIB46" s="196"/>
      <c r="AIC46" s="646"/>
      <c r="AID46" s="1400"/>
      <c r="AIE46" s="1401"/>
      <c r="AIF46" s="196"/>
      <c r="AIG46" s="196"/>
      <c r="AIH46" s="196"/>
      <c r="AII46" s="196"/>
      <c r="AIJ46" s="196"/>
      <c r="AIK46" s="196"/>
      <c r="AIL46" s="647"/>
      <c r="AIM46" s="196"/>
      <c r="AIN46" s="646"/>
      <c r="AIO46" s="1400"/>
      <c r="AIP46" s="1401"/>
      <c r="AIQ46" s="196"/>
      <c r="AIR46" s="196"/>
      <c r="AIS46" s="196"/>
      <c r="AIT46" s="196"/>
      <c r="AIU46" s="196"/>
      <c r="AIV46" s="196"/>
      <c r="AIW46" s="647"/>
      <c r="AIX46" s="196"/>
      <c r="AIY46" s="646"/>
      <c r="AIZ46" s="1400"/>
      <c r="AJA46" s="1401"/>
      <c r="AJB46" s="196"/>
      <c r="AJC46" s="196"/>
      <c r="AJD46" s="196"/>
      <c r="AJE46" s="196"/>
      <c r="AJF46" s="196"/>
      <c r="AJG46" s="196"/>
      <c r="AJH46" s="647"/>
      <c r="AJI46" s="196"/>
      <c r="AJJ46" s="646"/>
      <c r="AJK46" s="1400"/>
      <c r="AJL46" s="1401"/>
      <c r="AJM46" s="196"/>
      <c r="AJN46" s="196"/>
      <c r="AJO46" s="196"/>
      <c r="AJP46" s="196"/>
      <c r="AJQ46" s="196"/>
      <c r="AJR46" s="196"/>
      <c r="AJS46" s="647"/>
      <c r="AJT46" s="196"/>
      <c r="AJU46" s="646"/>
      <c r="AJV46" s="1400"/>
      <c r="AJW46" s="1401"/>
      <c r="AJX46" s="196"/>
      <c r="AJY46" s="196"/>
      <c r="AJZ46" s="196"/>
      <c r="AKA46" s="196"/>
      <c r="AKB46" s="196"/>
      <c r="AKC46" s="196"/>
      <c r="AKD46" s="647"/>
      <c r="AKE46" s="196"/>
      <c r="AKF46" s="646"/>
      <c r="AKG46" s="1400"/>
      <c r="AKH46" s="1401"/>
      <c r="AKI46" s="196"/>
      <c r="AKJ46" s="196"/>
      <c r="AKK46" s="196"/>
      <c r="AKL46" s="196"/>
      <c r="AKM46" s="196"/>
      <c r="AKN46" s="196"/>
      <c r="AKO46" s="647"/>
      <c r="AKP46" s="196"/>
      <c r="AKQ46" s="646"/>
      <c r="AKR46" s="1400"/>
      <c r="AKS46" s="1401"/>
      <c r="AKT46" s="196"/>
      <c r="AKU46" s="196"/>
      <c r="AKV46" s="196"/>
      <c r="AKW46" s="196"/>
      <c r="AKX46" s="196"/>
      <c r="AKY46" s="196"/>
      <c r="AKZ46" s="647"/>
      <c r="ALA46" s="196"/>
      <c r="ALB46" s="646"/>
      <c r="ALC46" s="1400"/>
      <c r="ALD46" s="1401"/>
      <c r="ALE46" s="196"/>
      <c r="ALF46" s="196"/>
      <c r="ALG46" s="196"/>
      <c r="ALH46" s="196"/>
      <c r="ALI46" s="196"/>
      <c r="ALJ46" s="196"/>
      <c r="ALK46" s="647"/>
      <c r="ALL46" s="196"/>
      <c r="ALM46" s="646"/>
      <c r="ALN46" s="1400"/>
      <c r="ALO46" s="1401"/>
      <c r="ALP46" s="196"/>
      <c r="ALQ46" s="196"/>
      <c r="ALR46" s="196"/>
      <c r="ALS46" s="196"/>
      <c r="ALT46" s="196"/>
      <c r="ALU46" s="196"/>
      <c r="ALV46" s="647"/>
      <c r="ALW46" s="196"/>
      <c r="ALX46" s="646"/>
      <c r="ALY46" s="1400"/>
      <c r="ALZ46" s="1401"/>
      <c r="AMA46" s="196"/>
      <c r="AMB46" s="196"/>
      <c r="AMC46" s="196"/>
      <c r="AMD46" s="196"/>
      <c r="AME46" s="196"/>
      <c r="AMF46" s="196"/>
      <c r="AMG46" s="647"/>
      <c r="AMH46" s="196"/>
      <c r="AMI46" s="646"/>
      <c r="AMJ46" s="1400"/>
      <c r="AMK46" s="1401"/>
      <c r="AML46" s="196"/>
      <c r="AMM46" s="196"/>
      <c r="AMN46" s="196"/>
      <c r="AMO46" s="196"/>
      <c r="AMP46" s="196"/>
      <c r="AMQ46" s="196"/>
      <c r="AMR46" s="647"/>
      <c r="AMS46" s="196"/>
      <c r="AMT46" s="646"/>
      <c r="AMU46" s="1400"/>
      <c r="AMV46" s="1401"/>
      <c r="AMW46" s="196"/>
      <c r="AMX46" s="196"/>
      <c r="AMY46" s="196"/>
      <c r="AMZ46" s="196"/>
      <c r="ANA46" s="196"/>
      <c r="ANB46" s="196"/>
      <c r="ANC46" s="647"/>
      <c r="AND46" s="196"/>
      <c r="ANE46" s="646"/>
      <c r="ANF46" s="1400"/>
      <c r="ANG46" s="1401"/>
      <c r="ANH46" s="196"/>
      <c r="ANI46" s="196"/>
      <c r="ANJ46" s="196"/>
      <c r="ANK46" s="196"/>
      <c r="ANL46" s="196"/>
      <c r="ANM46" s="196"/>
      <c r="ANN46" s="647"/>
      <c r="ANO46" s="196"/>
      <c r="ANP46" s="646"/>
      <c r="ANQ46" s="1400"/>
      <c r="ANR46" s="1401"/>
      <c r="ANS46" s="196"/>
      <c r="ANT46" s="196"/>
      <c r="ANU46" s="196"/>
      <c r="ANV46" s="196"/>
      <c r="ANW46" s="196"/>
      <c r="ANX46" s="196"/>
      <c r="ANY46" s="647"/>
      <c r="ANZ46" s="196"/>
      <c r="AOA46" s="646"/>
      <c r="AOB46" s="1400"/>
      <c r="AOC46" s="1401"/>
      <c r="AOD46" s="196"/>
      <c r="AOE46" s="196"/>
      <c r="AOF46" s="196"/>
      <c r="AOG46" s="196"/>
      <c r="AOH46" s="196"/>
      <c r="AOI46" s="196"/>
      <c r="AOJ46" s="647"/>
      <c r="AOK46" s="196"/>
      <c r="AOL46" s="646"/>
      <c r="AOM46" s="1400"/>
      <c r="AON46" s="1401"/>
      <c r="AOO46" s="196"/>
      <c r="AOP46" s="196"/>
      <c r="AOQ46" s="196"/>
      <c r="AOR46" s="196"/>
      <c r="AOS46" s="196"/>
      <c r="AOT46" s="196"/>
      <c r="AOU46" s="647"/>
      <c r="AOV46" s="196"/>
      <c r="AOW46" s="646"/>
      <c r="AOX46" s="1400"/>
      <c r="AOY46" s="1401"/>
      <c r="AOZ46" s="196"/>
      <c r="APA46" s="196"/>
      <c r="APB46" s="196"/>
      <c r="APC46" s="196"/>
      <c r="APD46" s="196"/>
      <c r="APE46" s="196"/>
      <c r="APF46" s="647"/>
      <c r="APG46" s="196"/>
      <c r="APH46" s="646"/>
      <c r="API46" s="1400"/>
      <c r="APJ46" s="1401"/>
      <c r="APK46" s="196"/>
      <c r="APL46" s="196"/>
      <c r="APM46" s="196"/>
      <c r="APN46" s="196"/>
      <c r="APO46" s="196"/>
      <c r="APP46" s="196"/>
      <c r="APQ46" s="647"/>
      <c r="APR46" s="196"/>
      <c r="APS46" s="646"/>
      <c r="APT46" s="1400"/>
      <c r="APU46" s="1401"/>
      <c r="APV46" s="196"/>
      <c r="APW46" s="196"/>
      <c r="APX46" s="196"/>
      <c r="APY46" s="196"/>
      <c r="APZ46" s="196"/>
      <c r="AQA46" s="196"/>
      <c r="AQB46" s="647"/>
      <c r="AQC46" s="196"/>
      <c r="AQD46" s="646"/>
      <c r="AQE46" s="1400"/>
      <c r="AQF46" s="1401"/>
      <c r="AQG46" s="196"/>
      <c r="AQH46" s="196"/>
      <c r="AQI46" s="196"/>
      <c r="AQJ46" s="196"/>
      <c r="AQK46" s="196"/>
      <c r="AQL46" s="196"/>
      <c r="AQM46" s="647"/>
      <c r="AQN46" s="196"/>
      <c r="AQO46" s="646"/>
      <c r="AQP46" s="1400"/>
      <c r="AQQ46" s="1401"/>
      <c r="AQR46" s="196"/>
      <c r="AQS46" s="196"/>
      <c r="AQT46" s="196"/>
      <c r="AQU46" s="196"/>
      <c r="AQV46" s="196"/>
      <c r="AQW46" s="196"/>
      <c r="AQX46" s="647"/>
      <c r="AQY46" s="196"/>
      <c r="AQZ46" s="646"/>
      <c r="ARA46" s="1400"/>
      <c r="ARB46" s="1401"/>
      <c r="ARC46" s="196"/>
      <c r="ARD46" s="196"/>
      <c r="ARE46" s="196"/>
      <c r="ARF46" s="196"/>
      <c r="ARG46" s="196"/>
      <c r="ARH46" s="196"/>
      <c r="ARI46" s="647"/>
      <c r="ARJ46" s="196"/>
      <c r="ARK46" s="646"/>
      <c r="ARL46" s="1400"/>
      <c r="ARM46" s="1401"/>
      <c r="ARN46" s="196"/>
      <c r="ARO46" s="196"/>
      <c r="ARP46" s="196"/>
      <c r="ARQ46" s="196"/>
      <c r="ARR46" s="196"/>
      <c r="ARS46" s="196"/>
      <c r="ART46" s="647"/>
      <c r="ARU46" s="196"/>
      <c r="ARV46" s="646"/>
      <c r="ARW46" s="1400"/>
      <c r="ARX46" s="1401"/>
      <c r="ARY46" s="196"/>
      <c r="ARZ46" s="196"/>
      <c r="ASA46" s="196"/>
      <c r="ASB46" s="196"/>
      <c r="ASC46" s="196"/>
      <c r="ASD46" s="196"/>
      <c r="ASE46" s="647"/>
      <c r="ASF46" s="196"/>
      <c r="ASG46" s="646"/>
      <c r="ASH46" s="1400"/>
      <c r="ASI46" s="1401"/>
      <c r="ASJ46" s="196"/>
      <c r="ASK46" s="196"/>
      <c r="ASL46" s="196"/>
      <c r="ASM46" s="196"/>
      <c r="ASN46" s="196"/>
      <c r="ASO46" s="196"/>
      <c r="ASP46" s="647"/>
      <c r="ASQ46" s="196"/>
      <c r="ASR46" s="646"/>
      <c r="ASS46" s="1400"/>
      <c r="AST46" s="1401"/>
      <c r="ASU46" s="196"/>
      <c r="ASV46" s="196"/>
      <c r="ASW46" s="196"/>
      <c r="ASX46" s="196"/>
      <c r="ASY46" s="196"/>
      <c r="ASZ46" s="196"/>
      <c r="ATA46" s="647"/>
      <c r="ATB46" s="196"/>
      <c r="ATC46" s="646"/>
      <c r="ATD46" s="1400"/>
      <c r="ATE46" s="1401"/>
      <c r="ATF46" s="196"/>
      <c r="ATG46" s="196"/>
      <c r="ATH46" s="196"/>
      <c r="ATI46" s="196"/>
      <c r="ATJ46" s="196"/>
      <c r="ATK46" s="196"/>
      <c r="ATL46" s="647"/>
      <c r="ATM46" s="196"/>
      <c r="ATN46" s="646"/>
      <c r="ATO46" s="1400"/>
      <c r="ATP46" s="1401"/>
      <c r="ATQ46" s="196"/>
      <c r="ATR46" s="196"/>
      <c r="ATS46" s="196"/>
      <c r="ATT46" s="196"/>
      <c r="ATU46" s="196"/>
      <c r="ATV46" s="196"/>
      <c r="ATW46" s="647"/>
      <c r="ATX46" s="196"/>
      <c r="ATY46" s="646"/>
      <c r="ATZ46" s="1400"/>
      <c r="AUA46" s="1401"/>
      <c r="AUB46" s="196"/>
      <c r="AUC46" s="196"/>
      <c r="AUD46" s="196"/>
      <c r="AUE46" s="196"/>
      <c r="AUF46" s="196"/>
      <c r="AUG46" s="196"/>
      <c r="AUH46" s="647"/>
      <c r="AUI46" s="196"/>
      <c r="AUJ46" s="646"/>
      <c r="AUK46" s="1400"/>
      <c r="AUL46" s="1401"/>
      <c r="AUM46" s="196"/>
      <c r="AUN46" s="196"/>
      <c r="AUO46" s="196"/>
      <c r="AUP46" s="196"/>
      <c r="AUQ46" s="196"/>
      <c r="AUR46" s="196"/>
      <c r="AUS46" s="647"/>
      <c r="AUT46" s="196"/>
      <c r="AUU46" s="646"/>
      <c r="AUV46" s="1400"/>
      <c r="AUW46" s="1401"/>
      <c r="AUX46" s="196"/>
      <c r="AUY46" s="196"/>
      <c r="AUZ46" s="196"/>
      <c r="AVA46" s="196"/>
      <c r="AVB46" s="196"/>
      <c r="AVC46" s="196"/>
      <c r="AVD46" s="647"/>
      <c r="AVE46" s="196"/>
      <c r="AVF46" s="646"/>
      <c r="AVG46" s="1400"/>
      <c r="AVH46" s="1401"/>
      <c r="AVI46" s="196"/>
      <c r="AVJ46" s="196"/>
      <c r="AVK46" s="196"/>
      <c r="AVL46" s="196"/>
      <c r="AVM46" s="196"/>
      <c r="AVN46" s="196"/>
      <c r="AVO46" s="647"/>
      <c r="AVP46" s="196"/>
      <c r="AVQ46" s="646"/>
      <c r="AVR46" s="1400"/>
      <c r="AVS46" s="1401"/>
      <c r="AVT46" s="196"/>
      <c r="AVU46" s="196"/>
      <c r="AVV46" s="196"/>
      <c r="AVW46" s="196"/>
      <c r="AVX46" s="196"/>
      <c r="AVY46" s="196"/>
      <c r="AVZ46" s="647"/>
      <c r="AWA46" s="196"/>
      <c r="AWB46" s="646"/>
      <c r="AWC46" s="1400"/>
      <c r="AWD46" s="1401"/>
      <c r="AWE46" s="196"/>
      <c r="AWF46" s="196"/>
      <c r="AWG46" s="196"/>
      <c r="AWH46" s="196"/>
      <c r="AWI46" s="196"/>
      <c r="AWJ46" s="196"/>
      <c r="AWK46" s="647"/>
      <c r="AWL46" s="196"/>
      <c r="AWM46" s="646"/>
      <c r="AWN46" s="1400"/>
      <c r="AWO46" s="1401"/>
      <c r="AWP46" s="196"/>
      <c r="AWQ46" s="196"/>
      <c r="AWR46" s="196"/>
      <c r="AWS46" s="196"/>
      <c r="AWT46" s="196"/>
      <c r="AWU46" s="196"/>
      <c r="AWV46" s="647"/>
      <c r="AWW46" s="196"/>
      <c r="AWX46" s="646"/>
      <c r="AWY46" s="1400"/>
      <c r="AWZ46" s="1401"/>
      <c r="AXA46" s="196"/>
      <c r="AXB46" s="196"/>
      <c r="AXC46" s="196"/>
      <c r="AXD46" s="196"/>
      <c r="AXE46" s="196"/>
      <c r="AXF46" s="196"/>
      <c r="AXG46" s="647"/>
      <c r="AXH46" s="196"/>
      <c r="AXI46" s="646"/>
      <c r="AXJ46" s="1400"/>
      <c r="AXK46" s="1401"/>
      <c r="AXL46" s="196"/>
      <c r="AXM46" s="196"/>
      <c r="AXN46" s="196"/>
      <c r="AXO46" s="196"/>
      <c r="AXP46" s="196"/>
      <c r="AXQ46" s="196"/>
      <c r="AXR46" s="647"/>
      <c r="AXS46" s="196"/>
      <c r="AXT46" s="646"/>
      <c r="AXU46" s="1400"/>
      <c r="AXV46" s="1401"/>
      <c r="AXW46" s="196"/>
      <c r="AXX46" s="196"/>
      <c r="AXY46" s="196"/>
      <c r="AXZ46" s="196"/>
      <c r="AYA46" s="196"/>
      <c r="AYB46" s="196"/>
      <c r="AYC46" s="647"/>
      <c r="AYD46" s="196"/>
      <c r="AYE46" s="646"/>
      <c r="AYF46" s="1400"/>
      <c r="AYG46" s="1401"/>
      <c r="AYH46" s="196"/>
      <c r="AYI46" s="196"/>
      <c r="AYJ46" s="196"/>
      <c r="AYK46" s="196"/>
      <c r="AYL46" s="196"/>
      <c r="AYM46" s="196"/>
      <c r="AYN46" s="647"/>
      <c r="AYO46" s="196"/>
      <c r="AYP46" s="646"/>
      <c r="AYQ46" s="1400"/>
      <c r="AYR46" s="1401"/>
      <c r="AYS46" s="196"/>
      <c r="AYT46" s="196"/>
      <c r="AYU46" s="196"/>
      <c r="AYV46" s="196"/>
      <c r="AYW46" s="196"/>
      <c r="AYX46" s="196"/>
      <c r="AYY46" s="647"/>
      <c r="AYZ46" s="196"/>
      <c r="AZA46" s="646"/>
      <c r="AZB46" s="1400"/>
      <c r="AZC46" s="1401"/>
      <c r="AZD46" s="196"/>
      <c r="AZE46" s="196"/>
      <c r="AZF46" s="196"/>
      <c r="AZG46" s="196"/>
      <c r="AZH46" s="196"/>
      <c r="AZI46" s="196"/>
      <c r="AZJ46" s="647"/>
      <c r="AZK46" s="196"/>
      <c r="AZL46" s="646"/>
      <c r="AZM46" s="1400"/>
      <c r="AZN46" s="1401"/>
      <c r="AZO46" s="196"/>
      <c r="AZP46" s="196"/>
      <c r="AZQ46" s="196"/>
      <c r="AZR46" s="196"/>
      <c r="AZS46" s="196"/>
      <c r="AZT46" s="196"/>
      <c r="AZU46" s="647"/>
      <c r="AZV46" s="196"/>
      <c r="AZW46" s="646"/>
      <c r="AZX46" s="1400"/>
      <c r="AZY46" s="1401"/>
      <c r="AZZ46" s="196"/>
      <c r="BAA46" s="196"/>
      <c r="BAB46" s="196"/>
      <c r="BAC46" s="196"/>
      <c r="BAD46" s="196"/>
      <c r="BAE46" s="196"/>
      <c r="BAF46" s="647"/>
      <c r="BAG46" s="196"/>
      <c r="BAH46" s="646"/>
      <c r="BAI46" s="1400"/>
      <c r="BAJ46" s="1401"/>
      <c r="BAK46" s="196"/>
      <c r="BAL46" s="196"/>
      <c r="BAM46" s="196"/>
      <c r="BAN46" s="196"/>
      <c r="BAO46" s="196"/>
      <c r="BAP46" s="196"/>
      <c r="BAQ46" s="647"/>
      <c r="BAR46" s="196"/>
      <c r="BAS46" s="646"/>
      <c r="BAT46" s="1400"/>
      <c r="BAU46" s="1401"/>
      <c r="BAV46" s="196"/>
      <c r="BAW46" s="196"/>
      <c r="BAX46" s="196"/>
      <c r="BAY46" s="196"/>
      <c r="BAZ46" s="196"/>
      <c r="BBA46" s="196"/>
      <c r="BBB46" s="647"/>
      <c r="BBC46" s="196"/>
      <c r="BBD46" s="646"/>
      <c r="BBE46" s="1400"/>
      <c r="BBF46" s="1401"/>
      <c r="BBG46" s="196"/>
      <c r="BBH46" s="196"/>
      <c r="BBI46" s="196"/>
      <c r="BBJ46" s="196"/>
      <c r="BBK46" s="196"/>
      <c r="BBL46" s="196"/>
      <c r="BBM46" s="647"/>
      <c r="BBN46" s="196"/>
      <c r="BBO46" s="646"/>
      <c r="BBP46" s="1400"/>
      <c r="BBQ46" s="1401"/>
      <c r="BBR46" s="196"/>
      <c r="BBS46" s="196"/>
      <c r="BBT46" s="196"/>
      <c r="BBU46" s="196"/>
      <c r="BBV46" s="196"/>
      <c r="BBW46" s="196"/>
      <c r="BBX46" s="647"/>
      <c r="BBY46" s="196"/>
      <c r="BBZ46" s="646"/>
      <c r="BCA46" s="1400"/>
      <c r="BCB46" s="1401"/>
      <c r="BCC46" s="196"/>
      <c r="BCD46" s="196"/>
      <c r="BCE46" s="196"/>
      <c r="BCF46" s="196"/>
      <c r="BCG46" s="196"/>
      <c r="BCH46" s="196"/>
      <c r="BCI46" s="647"/>
      <c r="BCJ46" s="196"/>
      <c r="BCK46" s="646"/>
      <c r="BCL46" s="1400"/>
      <c r="BCM46" s="1401"/>
      <c r="BCN46" s="196"/>
      <c r="BCO46" s="196"/>
      <c r="BCP46" s="196"/>
      <c r="BCQ46" s="196"/>
      <c r="BCR46" s="196"/>
      <c r="BCS46" s="196"/>
      <c r="BCT46" s="647"/>
      <c r="BCU46" s="196"/>
      <c r="BCV46" s="646"/>
      <c r="BCW46" s="1400"/>
      <c r="BCX46" s="1401"/>
      <c r="BCY46" s="196"/>
      <c r="BCZ46" s="196"/>
      <c r="BDA46" s="196"/>
      <c r="BDB46" s="196"/>
      <c r="BDC46" s="196"/>
      <c r="BDD46" s="196"/>
      <c r="BDE46" s="647"/>
      <c r="BDF46" s="196"/>
      <c r="BDG46" s="646"/>
      <c r="BDH46" s="1400"/>
      <c r="BDI46" s="1401"/>
      <c r="BDJ46" s="196"/>
      <c r="BDK46" s="196"/>
      <c r="BDL46" s="196"/>
      <c r="BDM46" s="196"/>
      <c r="BDN46" s="196"/>
      <c r="BDO46" s="196"/>
      <c r="BDP46" s="647"/>
      <c r="BDQ46" s="196"/>
      <c r="BDR46" s="646"/>
      <c r="BDS46" s="1400"/>
      <c r="BDT46" s="1401"/>
      <c r="BDU46" s="196"/>
      <c r="BDV46" s="196"/>
      <c r="BDW46" s="196"/>
      <c r="BDX46" s="196"/>
      <c r="BDY46" s="196"/>
      <c r="BDZ46" s="196"/>
      <c r="BEA46" s="647"/>
      <c r="BEB46" s="196"/>
      <c r="BEC46" s="646"/>
      <c r="BED46" s="1400"/>
      <c r="BEE46" s="1401"/>
      <c r="BEF46" s="196"/>
      <c r="BEG46" s="196"/>
      <c r="BEH46" s="196"/>
      <c r="BEI46" s="196"/>
      <c r="BEJ46" s="196"/>
      <c r="BEK46" s="196"/>
      <c r="BEL46" s="647"/>
      <c r="BEM46" s="196"/>
      <c r="BEN46" s="646"/>
      <c r="BEO46" s="1400"/>
      <c r="BEP46" s="1401"/>
      <c r="BEQ46" s="196"/>
      <c r="BER46" s="196"/>
      <c r="BES46" s="196"/>
      <c r="BET46" s="196"/>
      <c r="BEU46" s="196"/>
      <c r="BEV46" s="196"/>
      <c r="BEW46" s="647"/>
      <c r="BEX46" s="196"/>
      <c r="BEY46" s="646"/>
      <c r="BEZ46" s="1400"/>
      <c r="BFA46" s="1401"/>
      <c r="BFB46" s="196"/>
      <c r="BFC46" s="196"/>
      <c r="BFD46" s="196"/>
      <c r="BFE46" s="196"/>
      <c r="BFF46" s="196"/>
      <c r="BFG46" s="196"/>
      <c r="BFH46" s="647"/>
      <c r="BFI46" s="196"/>
      <c r="BFJ46" s="646"/>
      <c r="BFK46" s="1400"/>
      <c r="BFL46" s="1401"/>
      <c r="BFM46" s="196"/>
      <c r="BFN46" s="196"/>
      <c r="BFO46" s="196"/>
      <c r="BFP46" s="196"/>
      <c r="BFQ46" s="196"/>
      <c r="BFR46" s="196"/>
      <c r="BFS46" s="647"/>
      <c r="BFT46" s="196"/>
      <c r="BFU46" s="646"/>
      <c r="BFV46" s="1400"/>
      <c r="BFW46" s="1401"/>
      <c r="BFX46" s="196"/>
      <c r="BFY46" s="196"/>
      <c r="BFZ46" s="196"/>
      <c r="BGA46" s="196"/>
      <c r="BGB46" s="196"/>
      <c r="BGC46" s="196"/>
      <c r="BGD46" s="647"/>
      <c r="BGE46" s="196"/>
      <c r="BGF46" s="646"/>
      <c r="BGG46" s="1400"/>
      <c r="BGH46" s="1401"/>
      <c r="BGI46" s="196"/>
      <c r="BGJ46" s="196"/>
      <c r="BGK46" s="196"/>
      <c r="BGL46" s="196"/>
      <c r="BGM46" s="196"/>
      <c r="BGN46" s="196"/>
      <c r="BGO46" s="647"/>
      <c r="BGP46" s="196"/>
      <c r="BGQ46" s="646"/>
      <c r="BGR46" s="1400"/>
      <c r="BGS46" s="1401"/>
      <c r="BGT46" s="196"/>
      <c r="BGU46" s="196"/>
      <c r="BGV46" s="196"/>
      <c r="BGW46" s="196"/>
      <c r="BGX46" s="196"/>
      <c r="BGY46" s="196"/>
      <c r="BGZ46" s="647"/>
      <c r="BHA46" s="196"/>
      <c r="BHB46" s="646"/>
      <c r="BHC46" s="1400"/>
      <c r="BHD46" s="1401"/>
      <c r="BHE46" s="196"/>
      <c r="BHF46" s="196"/>
      <c r="BHG46" s="196"/>
      <c r="BHH46" s="196"/>
      <c r="BHI46" s="196"/>
      <c r="BHJ46" s="196"/>
      <c r="BHK46" s="647"/>
      <c r="BHL46" s="196"/>
      <c r="BHM46" s="646"/>
      <c r="BHN46" s="1400"/>
      <c r="BHO46" s="1401"/>
      <c r="BHP46" s="196"/>
      <c r="BHQ46" s="196"/>
      <c r="BHR46" s="196"/>
      <c r="BHS46" s="196"/>
      <c r="BHT46" s="196"/>
      <c r="BHU46" s="196"/>
      <c r="BHV46" s="647"/>
      <c r="BHW46" s="196"/>
      <c r="BHX46" s="646"/>
      <c r="BHY46" s="1400"/>
      <c r="BHZ46" s="1401"/>
      <c r="BIA46" s="196"/>
      <c r="BIB46" s="196"/>
      <c r="BIC46" s="196"/>
      <c r="BID46" s="196"/>
      <c r="BIE46" s="196"/>
      <c r="BIF46" s="196"/>
      <c r="BIG46" s="647"/>
      <c r="BIH46" s="196"/>
      <c r="BII46" s="646"/>
      <c r="BIJ46" s="1400"/>
      <c r="BIK46" s="1401"/>
      <c r="BIL46" s="196"/>
      <c r="BIM46" s="196"/>
      <c r="BIN46" s="196"/>
      <c r="BIO46" s="196"/>
      <c r="BIP46" s="196"/>
      <c r="BIQ46" s="196"/>
      <c r="BIR46" s="647"/>
      <c r="BIS46" s="196"/>
      <c r="BIT46" s="646"/>
      <c r="BIU46" s="1400"/>
      <c r="BIV46" s="1401"/>
      <c r="BIW46" s="196"/>
      <c r="BIX46" s="196"/>
      <c r="BIY46" s="196"/>
      <c r="BIZ46" s="196"/>
      <c r="BJA46" s="196"/>
      <c r="BJB46" s="196"/>
      <c r="BJC46" s="647"/>
      <c r="BJD46" s="196"/>
      <c r="BJE46" s="646"/>
      <c r="BJF46" s="1400"/>
      <c r="BJG46" s="1401"/>
      <c r="BJH46" s="196"/>
      <c r="BJI46" s="196"/>
      <c r="BJJ46" s="196"/>
      <c r="BJK46" s="196"/>
      <c r="BJL46" s="196"/>
      <c r="BJM46" s="196"/>
      <c r="BJN46" s="647"/>
      <c r="BJO46" s="196"/>
      <c r="BJP46" s="646"/>
      <c r="BJQ46" s="1400"/>
      <c r="BJR46" s="1401"/>
      <c r="BJS46" s="196"/>
      <c r="BJT46" s="196"/>
      <c r="BJU46" s="196"/>
      <c r="BJV46" s="196"/>
      <c r="BJW46" s="196"/>
      <c r="BJX46" s="196"/>
      <c r="BJY46" s="647"/>
      <c r="BJZ46" s="196"/>
      <c r="BKA46" s="646"/>
      <c r="BKB46" s="1400"/>
      <c r="BKC46" s="1401"/>
      <c r="BKD46" s="196"/>
      <c r="BKE46" s="196"/>
      <c r="BKF46" s="196"/>
      <c r="BKG46" s="196"/>
      <c r="BKH46" s="196"/>
      <c r="BKI46" s="196"/>
      <c r="BKJ46" s="647"/>
      <c r="BKK46" s="196"/>
      <c r="BKL46" s="646"/>
      <c r="BKM46" s="1400"/>
      <c r="BKN46" s="1401"/>
      <c r="BKO46" s="196"/>
      <c r="BKP46" s="196"/>
      <c r="BKQ46" s="196"/>
      <c r="BKR46" s="196"/>
      <c r="BKS46" s="196"/>
      <c r="BKT46" s="196"/>
      <c r="BKU46" s="647"/>
      <c r="BKV46" s="196"/>
      <c r="BKW46" s="646"/>
      <c r="BKX46" s="1400"/>
      <c r="BKY46" s="1401"/>
      <c r="BKZ46" s="196"/>
      <c r="BLA46" s="196"/>
      <c r="BLB46" s="196"/>
      <c r="BLC46" s="196"/>
      <c r="BLD46" s="196"/>
      <c r="BLE46" s="196"/>
      <c r="BLF46" s="647"/>
      <c r="BLG46" s="196"/>
      <c r="BLH46" s="646"/>
      <c r="BLI46" s="1400"/>
      <c r="BLJ46" s="1401"/>
      <c r="BLK46" s="196"/>
      <c r="BLL46" s="196"/>
      <c r="BLM46" s="196"/>
      <c r="BLN46" s="196"/>
      <c r="BLO46" s="196"/>
      <c r="BLP46" s="196"/>
      <c r="BLQ46" s="647"/>
      <c r="BLR46" s="196"/>
      <c r="BLS46" s="646"/>
      <c r="BLT46" s="1400"/>
      <c r="BLU46" s="1401"/>
      <c r="BLV46" s="196"/>
      <c r="BLW46" s="196"/>
      <c r="BLX46" s="196"/>
      <c r="BLY46" s="196"/>
      <c r="BLZ46" s="196"/>
      <c r="BMA46" s="196"/>
      <c r="BMB46" s="647"/>
      <c r="BMC46" s="196"/>
      <c r="BMD46" s="646"/>
      <c r="BME46" s="1400"/>
      <c r="BMF46" s="1401"/>
      <c r="BMG46" s="196"/>
      <c r="BMH46" s="196"/>
      <c r="BMI46" s="196"/>
      <c r="BMJ46" s="196"/>
      <c r="BMK46" s="196"/>
      <c r="BML46" s="196"/>
      <c r="BMM46" s="647"/>
      <c r="BMN46" s="196"/>
      <c r="BMO46" s="646"/>
      <c r="BMP46" s="1400"/>
      <c r="BMQ46" s="1401"/>
      <c r="BMR46" s="196"/>
      <c r="BMS46" s="196"/>
      <c r="BMT46" s="196"/>
      <c r="BMU46" s="196"/>
      <c r="BMV46" s="196"/>
      <c r="BMW46" s="196"/>
      <c r="BMX46" s="647"/>
      <c r="BMY46" s="196"/>
      <c r="BMZ46" s="646"/>
      <c r="BNA46" s="1400"/>
      <c r="BNB46" s="1401"/>
      <c r="BNC46" s="196"/>
      <c r="BND46" s="196"/>
      <c r="BNE46" s="196"/>
      <c r="BNF46" s="196"/>
      <c r="BNG46" s="196"/>
      <c r="BNH46" s="196"/>
      <c r="BNI46" s="647"/>
      <c r="BNJ46" s="196"/>
      <c r="BNK46" s="646"/>
      <c r="BNL46" s="1400"/>
      <c r="BNM46" s="1401"/>
      <c r="BNN46" s="196"/>
      <c r="BNO46" s="196"/>
      <c r="BNP46" s="196"/>
      <c r="BNQ46" s="196"/>
      <c r="BNR46" s="196"/>
      <c r="BNS46" s="196"/>
      <c r="BNT46" s="647"/>
      <c r="BNU46" s="196"/>
      <c r="BNV46" s="646"/>
      <c r="BNW46" s="1400"/>
      <c r="BNX46" s="1401"/>
      <c r="BNY46" s="196"/>
      <c r="BNZ46" s="196"/>
      <c r="BOA46" s="196"/>
      <c r="BOB46" s="196"/>
      <c r="BOC46" s="196"/>
      <c r="BOD46" s="196"/>
      <c r="BOE46" s="647"/>
      <c r="BOF46" s="196"/>
      <c r="BOG46" s="646"/>
      <c r="BOH46" s="1400"/>
      <c r="BOI46" s="1401"/>
      <c r="BOJ46" s="196"/>
      <c r="BOK46" s="196"/>
      <c r="BOL46" s="196"/>
      <c r="BOM46" s="196"/>
      <c r="BON46" s="196"/>
      <c r="BOO46" s="196"/>
      <c r="BOP46" s="647"/>
      <c r="BOQ46" s="196"/>
      <c r="BOR46" s="646"/>
      <c r="BOS46" s="1400"/>
      <c r="BOT46" s="1401"/>
      <c r="BOU46" s="196"/>
      <c r="BOV46" s="196"/>
      <c r="BOW46" s="196"/>
      <c r="BOX46" s="196"/>
      <c r="BOY46" s="196"/>
      <c r="BOZ46" s="196"/>
      <c r="BPA46" s="647"/>
      <c r="BPB46" s="196"/>
      <c r="BPC46" s="646"/>
      <c r="BPD46" s="1400"/>
      <c r="BPE46" s="1401"/>
      <c r="BPF46" s="196"/>
      <c r="BPG46" s="196"/>
      <c r="BPH46" s="196"/>
      <c r="BPI46" s="196"/>
      <c r="BPJ46" s="196"/>
      <c r="BPK46" s="196"/>
      <c r="BPL46" s="647"/>
      <c r="BPM46" s="196"/>
      <c r="BPN46" s="646"/>
      <c r="BPO46" s="1400"/>
      <c r="BPP46" s="1401"/>
      <c r="BPQ46" s="196"/>
      <c r="BPR46" s="196"/>
      <c r="BPS46" s="196"/>
      <c r="BPT46" s="196"/>
      <c r="BPU46" s="196"/>
      <c r="BPV46" s="196"/>
      <c r="BPW46" s="647"/>
      <c r="BPX46" s="196"/>
      <c r="BPY46" s="646"/>
      <c r="BPZ46" s="1400"/>
      <c r="BQA46" s="1401"/>
      <c r="BQB46" s="196"/>
      <c r="BQC46" s="196"/>
      <c r="BQD46" s="196"/>
      <c r="BQE46" s="196"/>
      <c r="BQF46" s="196"/>
      <c r="BQG46" s="196"/>
      <c r="BQH46" s="647"/>
      <c r="BQI46" s="196"/>
      <c r="BQJ46" s="646"/>
      <c r="BQK46" s="1400"/>
      <c r="BQL46" s="1401"/>
      <c r="BQM46" s="196"/>
      <c r="BQN46" s="196"/>
      <c r="BQO46" s="196"/>
      <c r="BQP46" s="196"/>
      <c r="BQQ46" s="196"/>
      <c r="BQR46" s="196"/>
      <c r="BQS46" s="647"/>
      <c r="BQT46" s="196"/>
      <c r="BQU46" s="646"/>
      <c r="BQV46" s="1400"/>
      <c r="BQW46" s="1401"/>
      <c r="BQX46" s="196"/>
      <c r="BQY46" s="196"/>
      <c r="BQZ46" s="196"/>
      <c r="BRA46" s="196"/>
      <c r="BRB46" s="196"/>
      <c r="BRC46" s="196"/>
      <c r="BRD46" s="647"/>
      <c r="BRE46" s="196"/>
      <c r="BRF46" s="646"/>
      <c r="BRG46" s="1400"/>
      <c r="BRH46" s="1401"/>
      <c r="BRI46" s="196"/>
      <c r="BRJ46" s="196"/>
      <c r="BRK46" s="196"/>
      <c r="BRL46" s="196"/>
      <c r="BRM46" s="196"/>
      <c r="BRN46" s="196"/>
      <c r="BRO46" s="647"/>
      <c r="BRP46" s="196"/>
      <c r="BRQ46" s="646"/>
      <c r="BRR46" s="1400"/>
      <c r="BRS46" s="1401"/>
      <c r="BRT46" s="196"/>
      <c r="BRU46" s="196"/>
      <c r="BRV46" s="196"/>
      <c r="BRW46" s="196"/>
      <c r="BRX46" s="196"/>
      <c r="BRY46" s="196"/>
      <c r="BRZ46" s="647"/>
      <c r="BSA46" s="196"/>
      <c r="BSB46" s="646"/>
      <c r="BSC46" s="1400"/>
      <c r="BSD46" s="1401"/>
      <c r="BSE46" s="196"/>
      <c r="BSF46" s="196"/>
      <c r="BSG46" s="196"/>
      <c r="BSH46" s="196"/>
      <c r="BSI46" s="196"/>
      <c r="BSJ46" s="196"/>
      <c r="BSK46" s="647"/>
      <c r="BSL46" s="196"/>
      <c r="BSM46" s="646"/>
      <c r="BSN46" s="1400"/>
      <c r="BSO46" s="1401"/>
      <c r="BSP46" s="196"/>
      <c r="BSQ46" s="196"/>
      <c r="BSR46" s="196"/>
      <c r="BSS46" s="196"/>
      <c r="BST46" s="196"/>
      <c r="BSU46" s="196"/>
      <c r="BSV46" s="647"/>
      <c r="BSW46" s="196"/>
      <c r="BSX46" s="646"/>
      <c r="BSY46" s="1400"/>
      <c r="BSZ46" s="1401"/>
      <c r="BTA46" s="196"/>
      <c r="BTB46" s="196"/>
      <c r="BTC46" s="196"/>
      <c r="BTD46" s="196"/>
      <c r="BTE46" s="196"/>
      <c r="BTF46" s="196"/>
      <c r="BTG46" s="647"/>
      <c r="BTH46" s="196"/>
      <c r="BTI46" s="646"/>
      <c r="BTJ46" s="1400"/>
      <c r="BTK46" s="1401"/>
      <c r="BTL46" s="196"/>
      <c r="BTM46" s="196"/>
      <c r="BTN46" s="196"/>
      <c r="BTO46" s="196"/>
      <c r="BTP46" s="196"/>
      <c r="BTQ46" s="196"/>
      <c r="BTR46" s="647"/>
      <c r="BTS46" s="196"/>
      <c r="BTT46" s="646"/>
      <c r="BTU46" s="1400"/>
      <c r="BTV46" s="1401"/>
      <c r="BTW46" s="196"/>
      <c r="BTX46" s="196"/>
      <c r="BTY46" s="196"/>
      <c r="BTZ46" s="196"/>
      <c r="BUA46" s="196"/>
      <c r="BUB46" s="196"/>
      <c r="BUC46" s="647"/>
      <c r="BUD46" s="196"/>
      <c r="BUE46" s="646"/>
      <c r="BUF46" s="1400"/>
      <c r="BUG46" s="1401"/>
      <c r="BUH46" s="196"/>
      <c r="BUI46" s="196"/>
      <c r="BUJ46" s="196"/>
      <c r="BUK46" s="196"/>
      <c r="BUL46" s="196"/>
      <c r="BUM46" s="196"/>
      <c r="BUN46" s="647"/>
      <c r="BUO46" s="196"/>
      <c r="BUP46" s="646"/>
      <c r="BUQ46" s="1400"/>
      <c r="BUR46" s="1401"/>
      <c r="BUS46" s="196"/>
      <c r="BUT46" s="196"/>
      <c r="BUU46" s="196"/>
      <c r="BUV46" s="196"/>
      <c r="BUW46" s="196"/>
      <c r="BUX46" s="196"/>
      <c r="BUY46" s="647"/>
      <c r="BUZ46" s="196"/>
      <c r="BVA46" s="646"/>
      <c r="BVB46" s="1400"/>
      <c r="BVC46" s="1401"/>
      <c r="BVD46" s="196"/>
      <c r="BVE46" s="196"/>
      <c r="BVF46" s="196"/>
      <c r="BVG46" s="196"/>
      <c r="BVH46" s="196"/>
      <c r="BVI46" s="196"/>
      <c r="BVJ46" s="647"/>
      <c r="BVK46" s="196"/>
      <c r="BVL46" s="646"/>
      <c r="BVM46" s="1400"/>
      <c r="BVN46" s="1401"/>
      <c r="BVO46" s="196"/>
      <c r="BVP46" s="196"/>
      <c r="BVQ46" s="196"/>
      <c r="BVR46" s="196"/>
      <c r="BVS46" s="196"/>
      <c r="BVT46" s="196"/>
      <c r="BVU46" s="647"/>
      <c r="BVV46" s="196"/>
      <c r="BVW46" s="646"/>
      <c r="BVX46" s="1400"/>
      <c r="BVY46" s="1401"/>
      <c r="BVZ46" s="196"/>
      <c r="BWA46" s="196"/>
      <c r="BWB46" s="196"/>
      <c r="BWC46" s="196"/>
      <c r="BWD46" s="196"/>
      <c r="BWE46" s="196"/>
      <c r="BWF46" s="647"/>
      <c r="BWG46" s="196"/>
      <c r="BWH46" s="646"/>
      <c r="BWI46" s="1400"/>
      <c r="BWJ46" s="1401"/>
      <c r="BWK46" s="196"/>
      <c r="BWL46" s="196"/>
      <c r="BWM46" s="196"/>
      <c r="BWN46" s="196"/>
      <c r="BWO46" s="196"/>
      <c r="BWP46" s="196"/>
      <c r="BWQ46" s="647"/>
      <c r="BWR46" s="196"/>
      <c r="BWS46" s="646"/>
      <c r="BWT46" s="1400"/>
      <c r="BWU46" s="1401"/>
      <c r="BWV46" s="196"/>
      <c r="BWW46" s="196"/>
      <c r="BWX46" s="196"/>
      <c r="BWY46" s="196"/>
      <c r="BWZ46" s="196"/>
      <c r="BXA46" s="196"/>
      <c r="BXB46" s="647"/>
      <c r="BXC46" s="196"/>
      <c r="BXD46" s="646"/>
      <c r="BXE46" s="1400"/>
      <c r="BXF46" s="1401"/>
      <c r="BXG46" s="196"/>
      <c r="BXH46" s="196"/>
      <c r="BXI46" s="196"/>
      <c r="BXJ46" s="196"/>
      <c r="BXK46" s="196"/>
      <c r="BXL46" s="196"/>
      <c r="BXM46" s="647"/>
      <c r="BXN46" s="196"/>
      <c r="BXO46" s="646"/>
      <c r="BXP46" s="1400"/>
      <c r="BXQ46" s="1401"/>
      <c r="BXR46" s="196"/>
      <c r="BXS46" s="196"/>
      <c r="BXT46" s="196"/>
      <c r="BXU46" s="196"/>
      <c r="BXV46" s="196"/>
      <c r="BXW46" s="196"/>
      <c r="BXX46" s="647"/>
      <c r="BXY46" s="196"/>
      <c r="BXZ46" s="646"/>
      <c r="BYA46" s="1400"/>
      <c r="BYB46" s="1401"/>
      <c r="BYC46" s="196"/>
      <c r="BYD46" s="196"/>
      <c r="BYE46" s="196"/>
      <c r="BYF46" s="196"/>
      <c r="BYG46" s="196"/>
      <c r="BYH46" s="196"/>
      <c r="BYI46" s="647"/>
      <c r="BYJ46" s="196"/>
      <c r="BYK46" s="646"/>
      <c r="BYL46" s="1400"/>
      <c r="BYM46" s="1401"/>
      <c r="BYN46" s="196"/>
      <c r="BYO46" s="196"/>
      <c r="BYP46" s="196"/>
      <c r="BYQ46" s="196"/>
      <c r="BYR46" s="196"/>
      <c r="BYS46" s="196"/>
      <c r="BYT46" s="647"/>
      <c r="BYU46" s="196"/>
      <c r="BYV46" s="646"/>
      <c r="BYW46" s="1400"/>
      <c r="BYX46" s="1401"/>
      <c r="BYY46" s="196"/>
      <c r="BYZ46" s="196"/>
      <c r="BZA46" s="196"/>
      <c r="BZB46" s="196"/>
      <c r="BZC46" s="196"/>
      <c r="BZD46" s="196"/>
      <c r="BZE46" s="647"/>
      <c r="BZF46" s="196"/>
      <c r="BZG46" s="646"/>
      <c r="BZH46" s="1400"/>
      <c r="BZI46" s="1401"/>
      <c r="BZJ46" s="196"/>
      <c r="BZK46" s="196"/>
      <c r="BZL46" s="196"/>
      <c r="BZM46" s="196"/>
      <c r="BZN46" s="196"/>
      <c r="BZO46" s="196"/>
      <c r="BZP46" s="647"/>
      <c r="BZQ46" s="196"/>
      <c r="BZR46" s="646"/>
      <c r="BZS46" s="1400"/>
      <c r="BZT46" s="1401"/>
      <c r="BZU46" s="196"/>
      <c r="BZV46" s="196"/>
      <c r="BZW46" s="196"/>
      <c r="BZX46" s="196"/>
      <c r="BZY46" s="196"/>
      <c r="BZZ46" s="196"/>
      <c r="CAA46" s="647"/>
      <c r="CAB46" s="196"/>
      <c r="CAC46" s="646"/>
      <c r="CAD46" s="1400"/>
      <c r="CAE46" s="1401"/>
      <c r="CAF46" s="196"/>
      <c r="CAG46" s="196"/>
      <c r="CAH46" s="196"/>
      <c r="CAI46" s="196"/>
      <c r="CAJ46" s="196"/>
      <c r="CAK46" s="196"/>
      <c r="CAL46" s="647"/>
      <c r="CAM46" s="196"/>
      <c r="CAN46" s="646"/>
      <c r="CAO46" s="1400"/>
      <c r="CAP46" s="1401"/>
      <c r="CAQ46" s="196"/>
      <c r="CAR46" s="196"/>
      <c r="CAS46" s="196"/>
      <c r="CAT46" s="196"/>
      <c r="CAU46" s="196"/>
      <c r="CAV46" s="196"/>
      <c r="CAW46" s="647"/>
      <c r="CAX46" s="196"/>
      <c r="CAY46" s="646"/>
      <c r="CAZ46" s="1400"/>
      <c r="CBA46" s="1401"/>
      <c r="CBB46" s="196"/>
      <c r="CBC46" s="196"/>
      <c r="CBD46" s="196"/>
      <c r="CBE46" s="196"/>
      <c r="CBF46" s="196"/>
      <c r="CBG46" s="196"/>
      <c r="CBH46" s="647"/>
      <c r="CBI46" s="196"/>
      <c r="CBJ46" s="646"/>
      <c r="CBK46" s="1400"/>
      <c r="CBL46" s="1401"/>
      <c r="CBM46" s="196"/>
      <c r="CBN46" s="196"/>
      <c r="CBO46" s="196"/>
      <c r="CBP46" s="196"/>
      <c r="CBQ46" s="196"/>
      <c r="CBR46" s="196"/>
      <c r="CBS46" s="647"/>
      <c r="CBT46" s="196"/>
      <c r="CBU46" s="646"/>
      <c r="CBV46" s="1400"/>
      <c r="CBW46" s="1401"/>
      <c r="CBX46" s="196"/>
      <c r="CBY46" s="196"/>
      <c r="CBZ46" s="196"/>
      <c r="CCA46" s="196"/>
      <c r="CCB46" s="196"/>
      <c r="CCC46" s="196"/>
      <c r="CCD46" s="647"/>
      <c r="CCE46" s="196"/>
      <c r="CCF46" s="646"/>
      <c r="CCG46" s="1400"/>
      <c r="CCH46" s="1401"/>
      <c r="CCI46" s="196"/>
      <c r="CCJ46" s="196"/>
      <c r="CCK46" s="196"/>
      <c r="CCL46" s="196"/>
      <c r="CCM46" s="196"/>
      <c r="CCN46" s="196"/>
      <c r="CCO46" s="647"/>
      <c r="CCP46" s="196"/>
      <c r="CCQ46" s="646"/>
      <c r="CCR46" s="1400"/>
      <c r="CCS46" s="1401"/>
      <c r="CCT46" s="196"/>
      <c r="CCU46" s="196"/>
      <c r="CCV46" s="196"/>
      <c r="CCW46" s="196"/>
      <c r="CCX46" s="196"/>
      <c r="CCY46" s="196"/>
      <c r="CCZ46" s="647"/>
      <c r="CDA46" s="196"/>
      <c r="CDB46" s="646"/>
      <c r="CDC46" s="1400"/>
      <c r="CDD46" s="1401"/>
      <c r="CDE46" s="196"/>
      <c r="CDF46" s="196"/>
      <c r="CDG46" s="196"/>
      <c r="CDH46" s="196"/>
      <c r="CDI46" s="196"/>
      <c r="CDJ46" s="196"/>
      <c r="CDK46" s="647"/>
      <c r="CDL46" s="196"/>
      <c r="CDM46" s="646"/>
      <c r="CDN46" s="1400"/>
      <c r="CDO46" s="1401"/>
      <c r="CDP46" s="196"/>
      <c r="CDQ46" s="196"/>
      <c r="CDR46" s="196"/>
      <c r="CDS46" s="196"/>
      <c r="CDT46" s="196"/>
      <c r="CDU46" s="196"/>
      <c r="CDV46" s="647"/>
      <c r="CDW46" s="196"/>
      <c r="CDX46" s="646"/>
      <c r="CDY46" s="1400"/>
      <c r="CDZ46" s="1401"/>
      <c r="CEA46" s="196"/>
      <c r="CEB46" s="196"/>
      <c r="CEC46" s="196"/>
      <c r="CED46" s="196"/>
      <c r="CEE46" s="196"/>
      <c r="CEF46" s="196"/>
      <c r="CEG46" s="647"/>
      <c r="CEH46" s="196"/>
      <c r="CEI46" s="646"/>
      <c r="CEJ46" s="1400"/>
      <c r="CEK46" s="1401"/>
      <c r="CEL46" s="196"/>
      <c r="CEM46" s="196"/>
      <c r="CEN46" s="196"/>
      <c r="CEO46" s="196"/>
      <c r="CEP46" s="196"/>
      <c r="CEQ46" s="196"/>
      <c r="CER46" s="647"/>
      <c r="CES46" s="196"/>
      <c r="CET46" s="646"/>
      <c r="CEU46" s="1400"/>
      <c r="CEV46" s="1401"/>
      <c r="CEW46" s="196"/>
      <c r="CEX46" s="196"/>
      <c r="CEY46" s="196"/>
      <c r="CEZ46" s="196"/>
      <c r="CFA46" s="196"/>
      <c r="CFB46" s="196"/>
      <c r="CFC46" s="647"/>
      <c r="CFD46" s="196"/>
      <c r="CFE46" s="646"/>
      <c r="CFF46" s="1400"/>
      <c r="CFG46" s="1401"/>
      <c r="CFH46" s="196"/>
      <c r="CFI46" s="196"/>
      <c r="CFJ46" s="196"/>
      <c r="CFK46" s="196"/>
      <c r="CFL46" s="196"/>
      <c r="CFM46" s="196"/>
      <c r="CFN46" s="647"/>
      <c r="CFO46" s="196"/>
      <c r="CFP46" s="646"/>
      <c r="CFQ46" s="1400"/>
      <c r="CFR46" s="1401"/>
      <c r="CFS46" s="196"/>
      <c r="CFT46" s="196"/>
      <c r="CFU46" s="196"/>
      <c r="CFV46" s="196"/>
      <c r="CFW46" s="196"/>
      <c r="CFX46" s="196"/>
      <c r="CFY46" s="647"/>
      <c r="CFZ46" s="196"/>
      <c r="CGA46" s="646"/>
      <c r="CGB46" s="1400"/>
      <c r="CGC46" s="1401"/>
      <c r="CGD46" s="196"/>
      <c r="CGE46" s="196"/>
      <c r="CGF46" s="196"/>
      <c r="CGG46" s="196"/>
      <c r="CGH46" s="196"/>
      <c r="CGI46" s="196"/>
      <c r="CGJ46" s="647"/>
      <c r="CGK46" s="196"/>
      <c r="CGL46" s="646"/>
      <c r="CGM46" s="1400"/>
      <c r="CGN46" s="1401"/>
      <c r="CGO46" s="196"/>
      <c r="CGP46" s="196"/>
      <c r="CGQ46" s="196"/>
      <c r="CGR46" s="196"/>
      <c r="CGS46" s="196"/>
      <c r="CGT46" s="196"/>
      <c r="CGU46" s="647"/>
      <c r="CGV46" s="196"/>
      <c r="CGW46" s="646"/>
      <c r="CGX46" s="1400"/>
      <c r="CGY46" s="1401"/>
      <c r="CGZ46" s="196"/>
      <c r="CHA46" s="196"/>
      <c r="CHB46" s="196"/>
      <c r="CHC46" s="196"/>
      <c r="CHD46" s="196"/>
      <c r="CHE46" s="196"/>
      <c r="CHF46" s="647"/>
      <c r="CHG46" s="196"/>
      <c r="CHH46" s="646"/>
      <c r="CHI46" s="1400"/>
      <c r="CHJ46" s="1401"/>
      <c r="CHK46" s="196"/>
      <c r="CHL46" s="196"/>
      <c r="CHM46" s="196"/>
      <c r="CHN46" s="196"/>
      <c r="CHO46" s="196"/>
      <c r="CHP46" s="196"/>
      <c r="CHQ46" s="647"/>
      <c r="CHR46" s="196"/>
      <c r="CHS46" s="646"/>
      <c r="CHT46" s="1400"/>
      <c r="CHU46" s="1401"/>
      <c r="CHV46" s="196"/>
      <c r="CHW46" s="196"/>
      <c r="CHX46" s="196"/>
      <c r="CHY46" s="196"/>
      <c r="CHZ46" s="196"/>
      <c r="CIA46" s="196"/>
      <c r="CIB46" s="647"/>
      <c r="CIC46" s="196"/>
      <c r="CID46" s="646"/>
      <c r="CIE46" s="1400"/>
      <c r="CIF46" s="1401"/>
      <c r="CIG46" s="196"/>
      <c r="CIH46" s="196"/>
      <c r="CII46" s="196"/>
      <c r="CIJ46" s="196"/>
      <c r="CIK46" s="196"/>
      <c r="CIL46" s="196"/>
      <c r="CIM46" s="647"/>
      <c r="CIN46" s="196"/>
      <c r="CIO46" s="646"/>
      <c r="CIP46" s="1400"/>
      <c r="CIQ46" s="1401"/>
      <c r="CIR46" s="196"/>
      <c r="CIS46" s="196"/>
      <c r="CIT46" s="196"/>
      <c r="CIU46" s="196"/>
      <c r="CIV46" s="196"/>
      <c r="CIW46" s="196"/>
      <c r="CIX46" s="647"/>
      <c r="CIY46" s="196"/>
      <c r="CIZ46" s="646"/>
      <c r="CJA46" s="1400"/>
      <c r="CJB46" s="1401"/>
      <c r="CJC46" s="196"/>
      <c r="CJD46" s="196"/>
      <c r="CJE46" s="196"/>
      <c r="CJF46" s="196"/>
      <c r="CJG46" s="196"/>
      <c r="CJH46" s="196"/>
      <c r="CJI46" s="647"/>
      <c r="CJJ46" s="196"/>
      <c r="CJK46" s="646"/>
      <c r="CJL46" s="1400"/>
      <c r="CJM46" s="1401"/>
      <c r="CJN46" s="196"/>
      <c r="CJO46" s="196"/>
      <c r="CJP46" s="196"/>
      <c r="CJQ46" s="196"/>
      <c r="CJR46" s="196"/>
      <c r="CJS46" s="196"/>
      <c r="CJT46" s="647"/>
      <c r="CJU46" s="196"/>
      <c r="CJV46" s="646"/>
      <c r="CJW46" s="1400"/>
      <c r="CJX46" s="1401"/>
      <c r="CJY46" s="196"/>
      <c r="CJZ46" s="196"/>
      <c r="CKA46" s="196"/>
      <c r="CKB46" s="196"/>
      <c r="CKC46" s="196"/>
      <c r="CKD46" s="196"/>
      <c r="CKE46" s="647"/>
      <c r="CKF46" s="196"/>
      <c r="CKG46" s="646"/>
      <c r="CKH46" s="1400"/>
      <c r="CKI46" s="1401"/>
      <c r="CKJ46" s="196"/>
      <c r="CKK46" s="196"/>
      <c r="CKL46" s="196"/>
      <c r="CKM46" s="196"/>
      <c r="CKN46" s="196"/>
      <c r="CKO46" s="196"/>
      <c r="CKP46" s="647"/>
      <c r="CKQ46" s="196"/>
      <c r="CKR46" s="646"/>
      <c r="CKS46" s="1400"/>
      <c r="CKT46" s="1401"/>
      <c r="CKU46" s="196"/>
      <c r="CKV46" s="196"/>
      <c r="CKW46" s="196"/>
      <c r="CKX46" s="196"/>
      <c r="CKY46" s="196"/>
      <c r="CKZ46" s="196"/>
      <c r="CLA46" s="647"/>
      <c r="CLB46" s="196"/>
      <c r="CLC46" s="646"/>
      <c r="CLD46" s="1400"/>
      <c r="CLE46" s="1401"/>
      <c r="CLF46" s="196"/>
      <c r="CLG46" s="196"/>
      <c r="CLH46" s="196"/>
      <c r="CLI46" s="196"/>
      <c r="CLJ46" s="196"/>
      <c r="CLK46" s="196"/>
      <c r="CLL46" s="647"/>
      <c r="CLM46" s="196"/>
      <c r="CLN46" s="646"/>
      <c r="CLO46" s="1400"/>
      <c r="CLP46" s="1401"/>
      <c r="CLQ46" s="196"/>
      <c r="CLR46" s="196"/>
      <c r="CLS46" s="196"/>
      <c r="CLT46" s="196"/>
      <c r="CLU46" s="196"/>
      <c r="CLV46" s="196"/>
      <c r="CLW46" s="647"/>
      <c r="CLX46" s="196"/>
      <c r="CLY46" s="646"/>
      <c r="CLZ46" s="1400"/>
      <c r="CMA46" s="1401"/>
      <c r="CMB46" s="196"/>
      <c r="CMC46" s="196"/>
      <c r="CMD46" s="196"/>
      <c r="CME46" s="196"/>
      <c r="CMF46" s="196"/>
      <c r="CMG46" s="196"/>
      <c r="CMH46" s="647"/>
      <c r="CMI46" s="196"/>
      <c r="CMJ46" s="646"/>
      <c r="CMK46" s="1400"/>
      <c r="CML46" s="1401"/>
      <c r="CMM46" s="196"/>
      <c r="CMN46" s="196"/>
      <c r="CMO46" s="196"/>
      <c r="CMP46" s="196"/>
      <c r="CMQ46" s="196"/>
      <c r="CMR46" s="196"/>
      <c r="CMS46" s="647"/>
      <c r="CMT46" s="196"/>
      <c r="CMU46" s="646"/>
      <c r="CMV46" s="1400"/>
      <c r="CMW46" s="1401"/>
      <c r="CMX46" s="196"/>
      <c r="CMY46" s="196"/>
      <c r="CMZ46" s="196"/>
      <c r="CNA46" s="196"/>
      <c r="CNB46" s="196"/>
      <c r="CNC46" s="196"/>
      <c r="CND46" s="647"/>
      <c r="CNE46" s="196"/>
      <c r="CNF46" s="646"/>
      <c r="CNG46" s="1400"/>
      <c r="CNH46" s="1401"/>
      <c r="CNI46" s="196"/>
      <c r="CNJ46" s="196"/>
      <c r="CNK46" s="196"/>
      <c r="CNL46" s="196"/>
      <c r="CNM46" s="196"/>
      <c r="CNN46" s="196"/>
      <c r="CNO46" s="647"/>
      <c r="CNP46" s="196"/>
      <c r="CNQ46" s="646"/>
      <c r="CNR46" s="1400"/>
      <c r="CNS46" s="1401"/>
      <c r="CNT46" s="196"/>
      <c r="CNU46" s="196"/>
      <c r="CNV46" s="196"/>
      <c r="CNW46" s="196"/>
      <c r="CNX46" s="196"/>
      <c r="CNY46" s="196"/>
      <c r="CNZ46" s="647"/>
      <c r="COA46" s="196"/>
      <c r="COB46" s="646"/>
      <c r="COC46" s="1400"/>
      <c r="COD46" s="1401"/>
      <c r="COE46" s="196"/>
      <c r="COF46" s="196"/>
      <c r="COG46" s="196"/>
      <c r="COH46" s="196"/>
      <c r="COI46" s="196"/>
      <c r="COJ46" s="196"/>
      <c r="COK46" s="647"/>
      <c r="COL46" s="196"/>
      <c r="COM46" s="646"/>
      <c r="CON46" s="1400"/>
      <c r="COO46" s="1401"/>
      <c r="COP46" s="196"/>
      <c r="COQ46" s="196"/>
      <c r="COR46" s="196"/>
      <c r="COS46" s="196"/>
      <c r="COT46" s="196"/>
      <c r="COU46" s="196"/>
      <c r="COV46" s="647"/>
      <c r="COW46" s="196"/>
      <c r="COX46" s="646"/>
      <c r="COY46" s="1400"/>
      <c r="COZ46" s="1401"/>
      <c r="CPA46" s="196"/>
      <c r="CPB46" s="196"/>
      <c r="CPC46" s="196"/>
      <c r="CPD46" s="196"/>
      <c r="CPE46" s="196"/>
      <c r="CPF46" s="196"/>
      <c r="CPG46" s="647"/>
      <c r="CPH46" s="196"/>
      <c r="CPI46" s="646"/>
      <c r="CPJ46" s="1400"/>
      <c r="CPK46" s="1401"/>
      <c r="CPL46" s="196"/>
      <c r="CPM46" s="196"/>
      <c r="CPN46" s="196"/>
      <c r="CPO46" s="196"/>
      <c r="CPP46" s="196"/>
      <c r="CPQ46" s="196"/>
      <c r="CPR46" s="647"/>
      <c r="CPS46" s="196"/>
      <c r="CPT46" s="646"/>
      <c r="CPU46" s="1400"/>
      <c r="CPV46" s="1401"/>
      <c r="CPW46" s="196"/>
      <c r="CPX46" s="196"/>
      <c r="CPY46" s="196"/>
      <c r="CPZ46" s="196"/>
      <c r="CQA46" s="196"/>
      <c r="CQB46" s="196"/>
      <c r="CQC46" s="647"/>
      <c r="CQD46" s="196"/>
      <c r="CQE46" s="646"/>
      <c r="CQF46" s="1400"/>
      <c r="CQG46" s="1401"/>
      <c r="CQH46" s="196"/>
      <c r="CQI46" s="196"/>
      <c r="CQJ46" s="196"/>
      <c r="CQK46" s="196"/>
      <c r="CQL46" s="196"/>
      <c r="CQM46" s="196"/>
      <c r="CQN46" s="647"/>
      <c r="CQO46" s="196"/>
      <c r="CQP46" s="646"/>
      <c r="CQQ46" s="1400"/>
      <c r="CQR46" s="1401"/>
      <c r="CQS46" s="196"/>
      <c r="CQT46" s="196"/>
      <c r="CQU46" s="196"/>
      <c r="CQV46" s="196"/>
      <c r="CQW46" s="196"/>
      <c r="CQX46" s="196"/>
      <c r="CQY46" s="647"/>
      <c r="CQZ46" s="196"/>
      <c r="CRA46" s="646"/>
      <c r="CRB46" s="1400"/>
      <c r="CRC46" s="1401"/>
      <c r="CRD46" s="196"/>
      <c r="CRE46" s="196"/>
      <c r="CRF46" s="196"/>
      <c r="CRG46" s="196"/>
      <c r="CRH46" s="196"/>
      <c r="CRI46" s="196"/>
      <c r="CRJ46" s="647"/>
      <c r="CRK46" s="196"/>
      <c r="CRL46" s="646"/>
      <c r="CRM46" s="1400"/>
      <c r="CRN46" s="1401"/>
      <c r="CRO46" s="196"/>
      <c r="CRP46" s="196"/>
      <c r="CRQ46" s="196"/>
      <c r="CRR46" s="196"/>
      <c r="CRS46" s="196"/>
      <c r="CRT46" s="196"/>
      <c r="CRU46" s="647"/>
      <c r="CRV46" s="196"/>
      <c r="CRW46" s="646"/>
      <c r="CRX46" s="1400"/>
      <c r="CRY46" s="1401"/>
      <c r="CRZ46" s="196"/>
      <c r="CSA46" s="196"/>
      <c r="CSB46" s="196"/>
      <c r="CSC46" s="196"/>
      <c r="CSD46" s="196"/>
      <c r="CSE46" s="196"/>
      <c r="CSF46" s="647"/>
      <c r="CSG46" s="196"/>
      <c r="CSH46" s="646"/>
      <c r="CSI46" s="1400"/>
      <c r="CSJ46" s="1401"/>
      <c r="CSK46" s="196"/>
      <c r="CSL46" s="196"/>
      <c r="CSM46" s="196"/>
      <c r="CSN46" s="196"/>
      <c r="CSO46" s="196"/>
      <c r="CSP46" s="196"/>
      <c r="CSQ46" s="647"/>
      <c r="CSR46" s="196"/>
      <c r="CSS46" s="646"/>
      <c r="CST46" s="1400"/>
      <c r="CSU46" s="1401"/>
      <c r="CSV46" s="196"/>
      <c r="CSW46" s="196"/>
      <c r="CSX46" s="196"/>
      <c r="CSY46" s="196"/>
      <c r="CSZ46" s="196"/>
      <c r="CTA46" s="196"/>
      <c r="CTB46" s="647"/>
      <c r="CTC46" s="196"/>
      <c r="CTD46" s="646"/>
      <c r="CTE46" s="1400"/>
      <c r="CTF46" s="1401"/>
      <c r="CTG46" s="196"/>
      <c r="CTH46" s="196"/>
      <c r="CTI46" s="196"/>
      <c r="CTJ46" s="196"/>
      <c r="CTK46" s="196"/>
      <c r="CTL46" s="196"/>
      <c r="CTM46" s="647"/>
      <c r="CTN46" s="196"/>
      <c r="CTO46" s="646"/>
      <c r="CTP46" s="1400"/>
      <c r="CTQ46" s="1401"/>
      <c r="CTR46" s="196"/>
      <c r="CTS46" s="196"/>
      <c r="CTT46" s="196"/>
      <c r="CTU46" s="196"/>
      <c r="CTV46" s="196"/>
      <c r="CTW46" s="196"/>
      <c r="CTX46" s="647"/>
      <c r="CTY46" s="196"/>
      <c r="CTZ46" s="646"/>
      <c r="CUA46" s="1400"/>
      <c r="CUB46" s="1401"/>
      <c r="CUC46" s="196"/>
      <c r="CUD46" s="196"/>
      <c r="CUE46" s="196"/>
      <c r="CUF46" s="196"/>
      <c r="CUG46" s="196"/>
      <c r="CUH46" s="196"/>
      <c r="CUI46" s="647"/>
      <c r="CUJ46" s="196"/>
      <c r="CUK46" s="646"/>
      <c r="CUL46" s="1400"/>
      <c r="CUM46" s="1401"/>
      <c r="CUN46" s="196"/>
      <c r="CUO46" s="196"/>
      <c r="CUP46" s="196"/>
      <c r="CUQ46" s="196"/>
      <c r="CUR46" s="196"/>
      <c r="CUS46" s="196"/>
      <c r="CUT46" s="647"/>
      <c r="CUU46" s="196"/>
      <c r="CUV46" s="646"/>
      <c r="CUW46" s="1400"/>
      <c r="CUX46" s="1401"/>
      <c r="CUY46" s="196"/>
      <c r="CUZ46" s="196"/>
      <c r="CVA46" s="196"/>
      <c r="CVB46" s="196"/>
      <c r="CVC46" s="196"/>
      <c r="CVD46" s="196"/>
      <c r="CVE46" s="647"/>
      <c r="CVF46" s="196"/>
      <c r="CVG46" s="646"/>
      <c r="CVH46" s="1400"/>
      <c r="CVI46" s="1401"/>
      <c r="CVJ46" s="196"/>
      <c r="CVK46" s="196"/>
      <c r="CVL46" s="196"/>
      <c r="CVM46" s="196"/>
      <c r="CVN46" s="196"/>
      <c r="CVO46" s="196"/>
      <c r="CVP46" s="647"/>
      <c r="CVQ46" s="196"/>
      <c r="CVR46" s="646"/>
      <c r="CVS46" s="1400"/>
      <c r="CVT46" s="1401"/>
      <c r="CVU46" s="196"/>
      <c r="CVV46" s="196"/>
      <c r="CVW46" s="196"/>
      <c r="CVX46" s="196"/>
      <c r="CVY46" s="196"/>
      <c r="CVZ46" s="196"/>
      <c r="CWA46" s="647"/>
      <c r="CWB46" s="196"/>
      <c r="CWC46" s="646"/>
      <c r="CWD46" s="1400"/>
      <c r="CWE46" s="1401"/>
      <c r="CWF46" s="196"/>
      <c r="CWG46" s="196"/>
      <c r="CWH46" s="196"/>
      <c r="CWI46" s="196"/>
      <c r="CWJ46" s="196"/>
      <c r="CWK46" s="196"/>
      <c r="CWL46" s="647"/>
      <c r="CWM46" s="196"/>
      <c r="CWN46" s="646"/>
      <c r="CWO46" s="1400"/>
      <c r="CWP46" s="1401"/>
      <c r="CWQ46" s="196"/>
      <c r="CWR46" s="196"/>
      <c r="CWS46" s="196"/>
      <c r="CWT46" s="196"/>
      <c r="CWU46" s="196"/>
      <c r="CWV46" s="196"/>
      <c r="CWW46" s="647"/>
      <c r="CWX46" s="196"/>
      <c r="CWY46" s="646"/>
      <c r="CWZ46" s="1400"/>
      <c r="CXA46" s="1401"/>
      <c r="CXB46" s="196"/>
      <c r="CXC46" s="196"/>
      <c r="CXD46" s="196"/>
      <c r="CXE46" s="196"/>
      <c r="CXF46" s="196"/>
      <c r="CXG46" s="196"/>
      <c r="CXH46" s="647"/>
      <c r="CXI46" s="196"/>
      <c r="CXJ46" s="646"/>
      <c r="CXK46" s="1400"/>
      <c r="CXL46" s="1401"/>
      <c r="CXM46" s="196"/>
      <c r="CXN46" s="196"/>
      <c r="CXO46" s="196"/>
      <c r="CXP46" s="196"/>
      <c r="CXQ46" s="196"/>
      <c r="CXR46" s="196"/>
      <c r="CXS46" s="647"/>
      <c r="CXT46" s="196"/>
      <c r="CXU46" s="646"/>
      <c r="CXV46" s="1400"/>
      <c r="CXW46" s="1401"/>
      <c r="CXX46" s="196"/>
      <c r="CXY46" s="196"/>
      <c r="CXZ46" s="196"/>
      <c r="CYA46" s="196"/>
      <c r="CYB46" s="196"/>
      <c r="CYC46" s="196"/>
      <c r="CYD46" s="647"/>
      <c r="CYE46" s="196"/>
      <c r="CYF46" s="646"/>
      <c r="CYG46" s="1400"/>
      <c r="CYH46" s="1401"/>
      <c r="CYI46" s="196"/>
      <c r="CYJ46" s="196"/>
      <c r="CYK46" s="196"/>
      <c r="CYL46" s="196"/>
      <c r="CYM46" s="196"/>
      <c r="CYN46" s="196"/>
      <c r="CYO46" s="647"/>
      <c r="CYP46" s="196"/>
      <c r="CYQ46" s="646"/>
      <c r="CYR46" s="1400"/>
      <c r="CYS46" s="1401"/>
      <c r="CYT46" s="196"/>
      <c r="CYU46" s="196"/>
      <c r="CYV46" s="196"/>
      <c r="CYW46" s="196"/>
      <c r="CYX46" s="196"/>
      <c r="CYY46" s="196"/>
      <c r="CYZ46" s="647"/>
      <c r="CZA46" s="196"/>
      <c r="CZB46" s="646"/>
      <c r="CZC46" s="1400"/>
      <c r="CZD46" s="1401"/>
      <c r="CZE46" s="196"/>
      <c r="CZF46" s="196"/>
      <c r="CZG46" s="196"/>
      <c r="CZH46" s="196"/>
      <c r="CZI46" s="196"/>
      <c r="CZJ46" s="196"/>
      <c r="CZK46" s="647"/>
      <c r="CZL46" s="196"/>
      <c r="CZM46" s="646"/>
      <c r="CZN46" s="1400"/>
      <c r="CZO46" s="1401"/>
      <c r="CZP46" s="196"/>
      <c r="CZQ46" s="196"/>
      <c r="CZR46" s="196"/>
      <c r="CZS46" s="196"/>
      <c r="CZT46" s="196"/>
      <c r="CZU46" s="196"/>
      <c r="CZV46" s="647"/>
      <c r="CZW46" s="196"/>
      <c r="CZX46" s="646"/>
      <c r="CZY46" s="1400"/>
      <c r="CZZ46" s="1401"/>
      <c r="DAA46" s="196"/>
      <c r="DAB46" s="196"/>
      <c r="DAC46" s="196"/>
      <c r="DAD46" s="196"/>
      <c r="DAE46" s="196"/>
      <c r="DAF46" s="196"/>
      <c r="DAG46" s="647"/>
      <c r="DAH46" s="196"/>
      <c r="DAI46" s="646"/>
      <c r="DAJ46" s="1400"/>
      <c r="DAK46" s="1401"/>
      <c r="DAL46" s="196"/>
      <c r="DAM46" s="196"/>
      <c r="DAN46" s="196"/>
      <c r="DAO46" s="196"/>
      <c r="DAP46" s="196"/>
      <c r="DAQ46" s="196"/>
      <c r="DAR46" s="647"/>
      <c r="DAS46" s="196"/>
      <c r="DAT46" s="646"/>
      <c r="DAU46" s="1400"/>
      <c r="DAV46" s="1401"/>
      <c r="DAW46" s="196"/>
      <c r="DAX46" s="196"/>
      <c r="DAY46" s="196"/>
      <c r="DAZ46" s="196"/>
      <c r="DBA46" s="196"/>
      <c r="DBB46" s="196"/>
      <c r="DBC46" s="647"/>
      <c r="DBD46" s="196"/>
      <c r="DBE46" s="646"/>
      <c r="DBF46" s="1400"/>
      <c r="DBG46" s="1401"/>
      <c r="DBH46" s="196"/>
      <c r="DBI46" s="196"/>
      <c r="DBJ46" s="196"/>
      <c r="DBK46" s="196"/>
      <c r="DBL46" s="196"/>
      <c r="DBM46" s="196"/>
      <c r="DBN46" s="647"/>
      <c r="DBO46" s="196"/>
      <c r="DBP46" s="646"/>
      <c r="DBQ46" s="1400"/>
      <c r="DBR46" s="1401"/>
      <c r="DBS46" s="196"/>
      <c r="DBT46" s="196"/>
      <c r="DBU46" s="196"/>
      <c r="DBV46" s="196"/>
      <c r="DBW46" s="196"/>
      <c r="DBX46" s="196"/>
      <c r="DBY46" s="647"/>
      <c r="DBZ46" s="196"/>
      <c r="DCA46" s="646"/>
      <c r="DCB46" s="1400"/>
      <c r="DCC46" s="1401"/>
      <c r="DCD46" s="196"/>
      <c r="DCE46" s="196"/>
      <c r="DCF46" s="196"/>
      <c r="DCG46" s="196"/>
      <c r="DCH46" s="196"/>
      <c r="DCI46" s="196"/>
      <c r="DCJ46" s="647"/>
      <c r="DCK46" s="196"/>
      <c r="DCL46" s="646"/>
      <c r="DCM46" s="1400"/>
      <c r="DCN46" s="1401"/>
      <c r="DCO46" s="196"/>
      <c r="DCP46" s="196"/>
      <c r="DCQ46" s="196"/>
      <c r="DCR46" s="196"/>
      <c r="DCS46" s="196"/>
      <c r="DCT46" s="196"/>
      <c r="DCU46" s="647"/>
      <c r="DCV46" s="196"/>
      <c r="DCW46" s="646"/>
      <c r="DCX46" s="1400"/>
      <c r="DCY46" s="1401"/>
      <c r="DCZ46" s="196"/>
      <c r="DDA46" s="196"/>
      <c r="DDB46" s="196"/>
      <c r="DDC46" s="196"/>
      <c r="DDD46" s="196"/>
      <c r="DDE46" s="196"/>
      <c r="DDF46" s="647"/>
      <c r="DDG46" s="196"/>
      <c r="DDH46" s="646"/>
      <c r="DDI46" s="1400"/>
      <c r="DDJ46" s="1401"/>
      <c r="DDK46" s="196"/>
      <c r="DDL46" s="196"/>
      <c r="DDM46" s="196"/>
      <c r="DDN46" s="196"/>
      <c r="DDO46" s="196"/>
      <c r="DDP46" s="196"/>
      <c r="DDQ46" s="647"/>
      <c r="DDR46" s="196"/>
      <c r="DDS46" s="646"/>
      <c r="DDT46" s="1400"/>
      <c r="DDU46" s="1401"/>
      <c r="DDV46" s="196"/>
      <c r="DDW46" s="196"/>
      <c r="DDX46" s="196"/>
      <c r="DDY46" s="196"/>
      <c r="DDZ46" s="196"/>
      <c r="DEA46" s="196"/>
      <c r="DEB46" s="647"/>
      <c r="DEC46" s="196"/>
      <c r="DED46" s="646"/>
      <c r="DEE46" s="1400"/>
      <c r="DEF46" s="1401"/>
      <c r="DEG46" s="196"/>
      <c r="DEH46" s="196"/>
      <c r="DEI46" s="196"/>
      <c r="DEJ46" s="196"/>
      <c r="DEK46" s="196"/>
      <c r="DEL46" s="196"/>
      <c r="DEM46" s="647"/>
      <c r="DEN46" s="196"/>
      <c r="DEO46" s="646"/>
      <c r="DEP46" s="1400"/>
      <c r="DEQ46" s="1401"/>
      <c r="DER46" s="196"/>
      <c r="DES46" s="196"/>
      <c r="DET46" s="196"/>
      <c r="DEU46" s="196"/>
      <c r="DEV46" s="196"/>
      <c r="DEW46" s="196"/>
      <c r="DEX46" s="647"/>
      <c r="DEY46" s="196"/>
      <c r="DEZ46" s="646"/>
      <c r="DFA46" s="1400"/>
      <c r="DFB46" s="1401"/>
      <c r="DFC46" s="196"/>
      <c r="DFD46" s="196"/>
      <c r="DFE46" s="196"/>
      <c r="DFF46" s="196"/>
      <c r="DFG46" s="196"/>
      <c r="DFH46" s="196"/>
      <c r="DFI46" s="647"/>
      <c r="DFJ46" s="196"/>
      <c r="DFK46" s="646"/>
      <c r="DFL46" s="1400"/>
      <c r="DFM46" s="1401"/>
      <c r="DFN46" s="196"/>
      <c r="DFO46" s="196"/>
      <c r="DFP46" s="196"/>
      <c r="DFQ46" s="196"/>
      <c r="DFR46" s="196"/>
      <c r="DFS46" s="196"/>
      <c r="DFT46" s="647"/>
      <c r="DFU46" s="196"/>
      <c r="DFV46" s="646"/>
      <c r="DFW46" s="1400"/>
      <c r="DFX46" s="1401"/>
      <c r="DFY46" s="196"/>
      <c r="DFZ46" s="196"/>
      <c r="DGA46" s="196"/>
      <c r="DGB46" s="196"/>
      <c r="DGC46" s="196"/>
      <c r="DGD46" s="196"/>
      <c r="DGE46" s="647"/>
      <c r="DGF46" s="196"/>
      <c r="DGG46" s="646"/>
      <c r="DGH46" s="1400"/>
      <c r="DGI46" s="1401"/>
      <c r="DGJ46" s="196"/>
      <c r="DGK46" s="196"/>
      <c r="DGL46" s="196"/>
      <c r="DGM46" s="196"/>
      <c r="DGN46" s="196"/>
      <c r="DGO46" s="196"/>
      <c r="DGP46" s="647"/>
      <c r="DGQ46" s="196"/>
      <c r="DGR46" s="646"/>
      <c r="DGS46" s="1400"/>
      <c r="DGT46" s="1401"/>
      <c r="DGU46" s="196"/>
      <c r="DGV46" s="196"/>
      <c r="DGW46" s="196"/>
      <c r="DGX46" s="196"/>
      <c r="DGY46" s="196"/>
      <c r="DGZ46" s="196"/>
      <c r="DHA46" s="647"/>
      <c r="DHB46" s="196"/>
      <c r="DHC46" s="646"/>
      <c r="DHD46" s="1400"/>
      <c r="DHE46" s="1401"/>
      <c r="DHF46" s="196"/>
      <c r="DHG46" s="196"/>
      <c r="DHH46" s="196"/>
      <c r="DHI46" s="196"/>
      <c r="DHJ46" s="196"/>
      <c r="DHK46" s="196"/>
      <c r="DHL46" s="647"/>
      <c r="DHM46" s="196"/>
      <c r="DHN46" s="646"/>
      <c r="DHO46" s="1400"/>
      <c r="DHP46" s="1401"/>
      <c r="DHQ46" s="196"/>
      <c r="DHR46" s="196"/>
      <c r="DHS46" s="196"/>
      <c r="DHT46" s="196"/>
      <c r="DHU46" s="196"/>
      <c r="DHV46" s="196"/>
      <c r="DHW46" s="647"/>
      <c r="DHX46" s="196"/>
      <c r="DHY46" s="646"/>
      <c r="DHZ46" s="1400"/>
      <c r="DIA46" s="1401"/>
      <c r="DIB46" s="196"/>
      <c r="DIC46" s="196"/>
      <c r="DID46" s="196"/>
      <c r="DIE46" s="196"/>
      <c r="DIF46" s="196"/>
      <c r="DIG46" s="196"/>
      <c r="DIH46" s="647"/>
      <c r="DII46" s="196"/>
      <c r="DIJ46" s="646"/>
      <c r="DIK46" s="1400"/>
      <c r="DIL46" s="1401"/>
      <c r="DIM46" s="196"/>
      <c r="DIN46" s="196"/>
      <c r="DIO46" s="196"/>
      <c r="DIP46" s="196"/>
      <c r="DIQ46" s="196"/>
      <c r="DIR46" s="196"/>
      <c r="DIS46" s="647"/>
      <c r="DIT46" s="196"/>
      <c r="DIU46" s="646"/>
      <c r="DIV46" s="1400"/>
      <c r="DIW46" s="1401"/>
      <c r="DIX46" s="196"/>
      <c r="DIY46" s="196"/>
      <c r="DIZ46" s="196"/>
      <c r="DJA46" s="196"/>
      <c r="DJB46" s="196"/>
      <c r="DJC46" s="196"/>
      <c r="DJD46" s="647"/>
      <c r="DJE46" s="196"/>
      <c r="DJF46" s="646"/>
      <c r="DJG46" s="1400"/>
      <c r="DJH46" s="1401"/>
      <c r="DJI46" s="196"/>
      <c r="DJJ46" s="196"/>
      <c r="DJK46" s="196"/>
      <c r="DJL46" s="196"/>
      <c r="DJM46" s="196"/>
      <c r="DJN46" s="196"/>
      <c r="DJO46" s="647"/>
      <c r="DJP46" s="196"/>
      <c r="DJQ46" s="646"/>
      <c r="DJR46" s="1400"/>
      <c r="DJS46" s="1401"/>
      <c r="DJT46" s="196"/>
      <c r="DJU46" s="196"/>
      <c r="DJV46" s="196"/>
      <c r="DJW46" s="196"/>
      <c r="DJX46" s="196"/>
      <c r="DJY46" s="196"/>
      <c r="DJZ46" s="647"/>
      <c r="DKA46" s="196"/>
      <c r="DKB46" s="646"/>
      <c r="DKC46" s="1400"/>
      <c r="DKD46" s="1401"/>
      <c r="DKE46" s="196"/>
      <c r="DKF46" s="196"/>
      <c r="DKG46" s="196"/>
      <c r="DKH46" s="196"/>
      <c r="DKI46" s="196"/>
      <c r="DKJ46" s="196"/>
      <c r="DKK46" s="647"/>
      <c r="DKL46" s="196"/>
      <c r="DKM46" s="646"/>
      <c r="DKN46" s="1400"/>
      <c r="DKO46" s="1401"/>
      <c r="DKP46" s="196"/>
      <c r="DKQ46" s="196"/>
      <c r="DKR46" s="196"/>
      <c r="DKS46" s="196"/>
      <c r="DKT46" s="196"/>
      <c r="DKU46" s="196"/>
      <c r="DKV46" s="647"/>
      <c r="DKW46" s="196"/>
      <c r="DKX46" s="646"/>
      <c r="DKY46" s="1400"/>
      <c r="DKZ46" s="1401"/>
      <c r="DLA46" s="196"/>
      <c r="DLB46" s="196"/>
      <c r="DLC46" s="196"/>
      <c r="DLD46" s="196"/>
      <c r="DLE46" s="196"/>
      <c r="DLF46" s="196"/>
      <c r="DLG46" s="647"/>
      <c r="DLH46" s="196"/>
      <c r="DLI46" s="646"/>
      <c r="DLJ46" s="1400"/>
      <c r="DLK46" s="1401"/>
      <c r="DLL46" s="196"/>
      <c r="DLM46" s="196"/>
      <c r="DLN46" s="196"/>
      <c r="DLO46" s="196"/>
      <c r="DLP46" s="196"/>
      <c r="DLQ46" s="196"/>
      <c r="DLR46" s="647"/>
      <c r="DLS46" s="196"/>
      <c r="DLT46" s="646"/>
      <c r="DLU46" s="1400"/>
      <c r="DLV46" s="1401"/>
      <c r="DLW46" s="196"/>
      <c r="DLX46" s="196"/>
      <c r="DLY46" s="196"/>
      <c r="DLZ46" s="196"/>
      <c r="DMA46" s="196"/>
      <c r="DMB46" s="196"/>
      <c r="DMC46" s="647"/>
      <c r="DMD46" s="196"/>
      <c r="DME46" s="646"/>
      <c r="DMF46" s="1400"/>
      <c r="DMG46" s="1401"/>
      <c r="DMH46" s="196"/>
      <c r="DMI46" s="196"/>
      <c r="DMJ46" s="196"/>
      <c r="DMK46" s="196"/>
      <c r="DML46" s="196"/>
      <c r="DMM46" s="196"/>
      <c r="DMN46" s="647"/>
      <c r="DMO46" s="196"/>
      <c r="DMP46" s="646"/>
      <c r="DMQ46" s="1400"/>
      <c r="DMR46" s="1401"/>
      <c r="DMS46" s="196"/>
      <c r="DMT46" s="196"/>
      <c r="DMU46" s="196"/>
      <c r="DMV46" s="196"/>
      <c r="DMW46" s="196"/>
      <c r="DMX46" s="196"/>
      <c r="DMY46" s="647"/>
      <c r="DMZ46" s="196"/>
      <c r="DNA46" s="646"/>
      <c r="DNB46" s="1400"/>
      <c r="DNC46" s="1401"/>
      <c r="DND46" s="196"/>
      <c r="DNE46" s="196"/>
      <c r="DNF46" s="196"/>
      <c r="DNG46" s="196"/>
      <c r="DNH46" s="196"/>
      <c r="DNI46" s="196"/>
      <c r="DNJ46" s="647"/>
      <c r="DNK46" s="196"/>
      <c r="DNL46" s="646"/>
      <c r="DNM46" s="1400"/>
      <c r="DNN46" s="1401"/>
      <c r="DNO46" s="196"/>
      <c r="DNP46" s="196"/>
      <c r="DNQ46" s="196"/>
      <c r="DNR46" s="196"/>
      <c r="DNS46" s="196"/>
      <c r="DNT46" s="196"/>
      <c r="DNU46" s="647"/>
      <c r="DNV46" s="196"/>
      <c r="DNW46" s="646"/>
      <c r="DNX46" s="1400"/>
      <c r="DNY46" s="1401"/>
      <c r="DNZ46" s="196"/>
      <c r="DOA46" s="196"/>
      <c r="DOB46" s="196"/>
      <c r="DOC46" s="196"/>
      <c r="DOD46" s="196"/>
      <c r="DOE46" s="196"/>
      <c r="DOF46" s="647"/>
      <c r="DOG46" s="196"/>
      <c r="DOH46" s="646"/>
      <c r="DOI46" s="1400"/>
      <c r="DOJ46" s="1401"/>
      <c r="DOK46" s="196"/>
      <c r="DOL46" s="196"/>
      <c r="DOM46" s="196"/>
      <c r="DON46" s="196"/>
      <c r="DOO46" s="196"/>
      <c r="DOP46" s="196"/>
      <c r="DOQ46" s="647"/>
      <c r="DOR46" s="196"/>
      <c r="DOS46" s="646"/>
      <c r="DOT46" s="1400"/>
      <c r="DOU46" s="1401"/>
      <c r="DOV46" s="196"/>
      <c r="DOW46" s="196"/>
      <c r="DOX46" s="196"/>
      <c r="DOY46" s="196"/>
      <c r="DOZ46" s="196"/>
      <c r="DPA46" s="196"/>
      <c r="DPB46" s="647"/>
      <c r="DPC46" s="196"/>
      <c r="DPD46" s="646"/>
      <c r="DPE46" s="1400"/>
      <c r="DPF46" s="1401"/>
      <c r="DPG46" s="196"/>
      <c r="DPH46" s="196"/>
      <c r="DPI46" s="196"/>
      <c r="DPJ46" s="196"/>
      <c r="DPK46" s="196"/>
      <c r="DPL46" s="196"/>
      <c r="DPM46" s="647"/>
      <c r="DPN46" s="196"/>
      <c r="DPO46" s="646"/>
      <c r="DPP46" s="1400"/>
      <c r="DPQ46" s="1401"/>
      <c r="DPR46" s="196"/>
      <c r="DPS46" s="196"/>
      <c r="DPT46" s="196"/>
      <c r="DPU46" s="196"/>
      <c r="DPV46" s="196"/>
      <c r="DPW46" s="196"/>
      <c r="DPX46" s="647"/>
      <c r="DPY46" s="196"/>
      <c r="DPZ46" s="646"/>
      <c r="DQA46" s="1400"/>
      <c r="DQB46" s="1401"/>
      <c r="DQC46" s="196"/>
      <c r="DQD46" s="196"/>
      <c r="DQE46" s="196"/>
      <c r="DQF46" s="196"/>
      <c r="DQG46" s="196"/>
      <c r="DQH46" s="196"/>
      <c r="DQI46" s="647"/>
      <c r="DQJ46" s="196"/>
      <c r="DQK46" s="646"/>
      <c r="DQL46" s="1400"/>
      <c r="DQM46" s="1401"/>
      <c r="DQN46" s="196"/>
      <c r="DQO46" s="196"/>
      <c r="DQP46" s="196"/>
      <c r="DQQ46" s="196"/>
      <c r="DQR46" s="196"/>
      <c r="DQS46" s="196"/>
      <c r="DQT46" s="647"/>
      <c r="DQU46" s="196"/>
      <c r="DQV46" s="646"/>
      <c r="DQW46" s="1400"/>
      <c r="DQX46" s="1401"/>
      <c r="DQY46" s="196"/>
      <c r="DQZ46" s="196"/>
      <c r="DRA46" s="196"/>
      <c r="DRB46" s="196"/>
      <c r="DRC46" s="196"/>
      <c r="DRD46" s="196"/>
      <c r="DRE46" s="647"/>
      <c r="DRF46" s="196"/>
      <c r="DRG46" s="646"/>
      <c r="DRH46" s="1400"/>
      <c r="DRI46" s="1401"/>
      <c r="DRJ46" s="196"/>
      <c r="DRK46" s="196"/>
      <c r="DRL46" s="196"/>
      <c r="DRM46" s="196"/>
      <c r="DRN46" s="196"/>
      <c r="DRO46" s="196"/>
      <c r="DRP46" s="647"/>
      <c r="DRQ46" s="196"/>
      <c r="DRR46" s="646"/>
      <c r="DRS46" s="1400"/>
      <c r="DRT46" s="1401"/>
      <c r="DRU46" s="196"/>
      <c r="DRV46" s="196"/>
      <c r="DRW46" s="196"/>
      <c r="DRX46" s="196"/>
      <c r="DRY46" s="196"/>
      <c r="DRZ46" s="196"/>
      <c r="DSA46" s="647"/>
      <c r="DSB46" s="196"/>
      <c r="DSC46" s="646"/>
      <c r="DSD46" s="1400"/>
      <c r="DSE46" s="1401"/>
      <c r="DSF46" s="196"/>
      <c r="DSG46" s="196"/>
      <c r="DSH46" s="196"/>
      <c r="DSI46" s="196"/>
      <c r="DSJ46" s="196"/>
      <c r="DSK46" s="196"/>
      <c r="DSL46" s="647"/>
      <c r="DSM46" s="196"/>
      <c r="DSN46" s="646"/>
      <c r="DSO46" s="1400"/>
      <c r="DSP46" s="1401"/>
      <c r="DSQ46" s="196"/>
      <c r="DSR46" s="196"/>
      <c r="DSS46" s="196"/>
      <c r="DST46" s="196"/>
      <c r="DSU46" s="196"/>
      <c r="DSV46" s="196"/>
      <c r="DSW46" s="647"/>
      <c r="DSX46" s="196"/>
      <c r="DSY46" s="646"/>
      <c r="DSZ46" s="1400"/>
      <c r="DTA46" s="1401"/>
      <c r="DTB46" s="196"/>
      <c r="DTC46" s="196"/>
      <c r="DTD46" s="196"/>
      <c r="DTE46" s="196"/>
      <c r="DTF46" s="196"/>
      <c r="DTG46" s="196"/>
      <c r="DTH46" s="647"/>
      <c r="DTI46" s="196"/>
      <c r="DTJ46" s="646"/>
      <c r="DTK46" s="1400"/>
      <c r="DTL46" s="1401"/>
      <c r="DTM46" s="196"/>
      <c r="DTN46" s="196"/>
      <c r="DTO46" s="196"/>
      <c r="DTP46" s="196"/>
      <c r="DTQ46" s="196"/>
      <c r="DTR46" s="196"/>
      <c r="DTS46" s="647"/>
      <c r="DTT46" s="196"/>
      <c r="DTU46" s="646"/>
      <c r="DTV46" s="1400"/>
      <c r="DTW46" s="1401"/>
      <c r="DTX46" s="196"/>
      <c r="DTY46" s="196"/>
      <c r="DTZ46" s="196"/>
      <c r="DUA46" s="196"/>
      <c r="DUB46" s="196"/>
      <c r="DUC46" s="196"/>
      <c r="DUD46" s="647"/>
      <c r="DUE46" s="196"/>
      <c r="DUF46" s="646"/>
      <c r="DUG46" s="1400"/>
      <c r="DUH46" s="1401"/>
      <c r="DUI46" s="196"/>
      <c r="DUJ46" s="196"/>
      <c r="DUK46" s="196"/>
      <c r="DUL46" s="196"/>
      <c r="DUM46" s="196"/>
      <c r="DUN46" s="196"/>
      <c r="DUO46" s="647"/>
      <c r="DUP46" s="196"/>
      <c r="DUQ46" s="646"/>
      <c r="DUR46" s="1400"/>
      <c r="DUS46" s="1401"/>
      <c r="DUT46" s="196"/>
      <c r="DUU46" s="196"/>
      <c r="DUV46" s="196"/>
      <c r="DUW46" s="196"/>
      <c r="DUX46" s="196"/>
      <c r="DUY46" s="196"/>
      <c r="DUZ46" s="647"/>
      <c r="DVA46" s="196"/>
      <c r="DVB46" s="646"/>
      <c r="DVC46" s="1400"/>
      <c r="DVD46" s="1401"/>
      <c r="DVE46" s="196"/>
      <c r="DVF46" s="196"/>
      <c r="DVG46" s="196"/>
      <c r="DVH46" s="196"/>
      <c r="DVI46" s="196"/>
      <c r="DVJ46" s="196"/>
      <c r="DVK46" s="647"/>
      <c r="DVL46" s="196"/>
      <c r="DVM46" s="646"/>
      <c r="DVN46" s="1400"/>
      <c r="DVO46" s="1401"/>
      <c r="DVP46" s="196"/>
      <c r="DVQ46" s="196"/>
      <c r="DVR46" s="196"/>
      <c r="DVS46" s="196"/>
      <c r="DVT46" s="196"/>
      <c r="DVU46" s="196"/>
      <c r="DVV46" s="647"/>
      <c r="DVW46" s="196"/>
      <c r="DVX46" s="646"/>
      <c r="DVY46" s="1400"/>
      <c r="DVZ46" s="1401"/>
      <c r="DWA46" s="196"/>
      <c r="DWB46" s="196"/>
      <c r="DWC46" s="196"/>
      <c r="DWD46" s="196"/>
      <c r="DWE46" s="196"/>
      <c r="DWF46" s="196"/>
      <c r="DWG46" s="647"/>
      <c r="DWH46" s="196"/>
      <c r="DWI46" s="646"/>
      <c r="DWJ46" s="1400"/>
      <c r="DWK46" s="1401"/>
      <c r="DWL46" s="196"/>
      <c r="DWM46" s="196"/>
      <c r="DWN46" s="196"/>
      <c r="DWO46" s="196"/>
      <c r="DWP46" s="196"/>
      <c r="DWQ46" s="196"/>
      <c r="DWR46" s="647"/>
      <c r="DWS46" s="196"/>
      <c r="DWT46" s="646"/>
      <c r="DWU46" s="1400"/>
      <c r="DWV46" s="1401"/>
      <c r="DWW46" s="196"/>
      <c r="DWX46" s="196"/>
      <c r="DWY46" s="196"/>
      <c r="DWZ46" s="196"/>
      <c r="DXA46" s="196"/>
      <c r="DXB46" s="196"/>
      <c r="DXC46" s="647"/>
      <c r="DXD46" s="196"/>
      <c r="DXE46" s="646"/>
      <c r="DXF46" s="1400"/>
      <c r="DXG46" s="1401"/>
      <c r="DXH46" s="196"/>
      <c r="DXI46" s="196"/>
      <c r="DXJ46" s="196"/>
      <c r="DXK46" s="196"/>
      <c r="DXL46" s="196"/>
      <c r="DXM46" s="196"/>
      <c r="DXN46" s="647"/>
      <c r="DXO46" s="196"/>
      <c r="DXP46" s="646"/>
      <c r="DXQ46" s="1400"/>
      <c r="DXR46" s="1401"/>
      <c r="DXS46" s="196"/>
      <c r="DXT46" s="196"/>
      <c r="DXU46" s="196"/>
      <c r="DXV46" s="196"/>
      <c r="DXW46" s="196"/>
      <c r="DXX46" s="196"/>
      <c r="DXY46" s="647"/>
      <c r="DXZ46" s="196"/>
      <c r="DYA46" s="646"/>
      <c r="DYB46" s="1400"/>
      <c r="DYC46" s="1401"/>
      <c r="DYD46" s="196"/>
      <c r="DYE46" s="196"/>
      <c r="DYF46" s="196"/>
      <c r="DYG46" s="196"/>
      <c r="DYH46" s="196"/>
      <c r="DYI46" s="196"/>
      <c r="DYJ46" s="647"/>
      <c r="DYK46" s="196"/>
      <c r="DYL46" s="646"/>
      <c r="DYM46" s="1400"/>
      <c r="DYN46" s="1401"/>
      <c r="DYO46" s="196"/>
      <c r="DYP46" s="196"/>
      <c r="DYQ46" s="196"/>
      <c r="DYR46" s="196"/>
      <c r="DYS46" s="196"/>
      <c r="DYT46" s="196"/>
      <c r="DYU46" s="647"/>
      <c r="DYV46" s="196"/>
      <c r="DYW46" s="646"/>
      <c r="DYX46" s="1400"/>
      <c r="DYY46" s="1401"/>
      <c r="DYZ46" s="196"/>
      <c r="DZA46" s="196"/>
      <c r="DZB46" s="196"/>
      <c r="DZC46" s="196"/>
      <c r="DZD46" s="196"/>
      <c r="DZE46" s="196"/>
      <c r="DZF46" s="647"/>
      <c r="DZG46" s="196"/>
      <c r="DZH46" s="646"/>
      <c r="DZI46" s="1400"/>
      <c r="DZJ46" s="1401"/>
      <c r="DZK46" s="196"/>
      <c r="DZL46" s="196"/>
      <c r="DZM46" s="196"/>
      <c r="DZN46" s="196"/>
      <c r="DZO46" s="196"/>
      <c r="DZP46" s="196"/>
      <c r="DZQ46" s="647"/>
      <c r="DZR46" s="196"/>
      <c r="DZS46" s="646"/>
      <c r="DZT46" s="1400"/>
      <c r="DZU46" s="1401"/>
      <c r="DZV46" s="196"/>
      <c r="DZW46" s="196"/>
      <c r="DZX46" s="196"/>
      <c r="DZY46" s="196"/>
      <c r="DZZ46" s="196"/>
      <c r="EAA46" s="196"/>
      <c r="EAB46" s="647"/>
      <c r="EAC46" s="196"/>
      <c r="EAD46" s="646"/>
      <c r="EAE46" s="1400"/>
      <c r="EAF46" s="1401"/>
      <c r="EAG46" s="196"/>
      <c r="EAH46" s="196"/>
      <c r="EAI46" s="196"/>
      <c r="EAJ46" s="196"/>
      <c r="EAK46" s="196"/>
      <c r="EAL46" s="196"/>
      <c r="EAM46" s="647"/>
      <c r="EAN46" s="196"/>
      <c r="EAO46" s="646"/>
      <c r="EAP46" s="1400"/>
      <c r="EAQ46" s="1401"/>
      <c r="EAR46" s="196"/>
      <c r="EAS46" s="196"/>
      <c r="EAT46" s="196"/>
      <c r="EAU46" s="196"/>
      <c r="EAV46" s="196"/>
      <c r="EAW46" s="196"/>
      <c r="EAX46" s="647"/>
      <c r="EAY46" s="196"/>
      <c r="EAZ46" s="646"/>
      <c r="EBA46" s="1400"/>
      <c r="EBB46" s="1401"/>
      <c r="EBC46" s="196"/>
      <c r="EBD46" s="196"/>
      <c r="EBE46" s="196"/>
      <c r="EBF46" s="196"/>
      <c r="EBG46" s="196"/>
      <c r="EBH46" s="196"/>
      <c r="EBI46" s="647"/>
      <c r="EBJ46" s="196"/>
      <c r="EBK46" s="646"/>
      <c r="EBL46" s="1400"/>
      <c r="EBM46" s="1401"/>
      <c r="EBN46" s="196"/>
      <c r="EBO46" s="196"/>
      <c r="EBP46" s="196"/>
      <c r="EBQ46" s="196"/>
      <c r="EBR46" s="196"/>
      <c r="EBS46" s="196"/>
      <c r="EBT46" s="647"/>
      <c r="EBU46" s="196"/>
      <c r="EBV46" s="646"/>
      <c r="EBW46" s="1400"/>
      <c r="EBX46" s="1401"/>
      <c r="EBY46" s="196"/>
      <c r="EBZ46" s="196"/>
      <c r="ECA46" s="196"/>
      <c r="ECB46" s="196"/>
      <c r="ECC46" s="196"/>
      <c r="ECD46" s="196"/>
      <c r="ECE46" s="647"/>
      <c r="ECF46" s="196"/>
      <c r="ECG46" s="646"/>
      <c r="ECH46" s="1400"/>
      <c r="ECI46" s="1401"/>
      <c r="ECJ46" s="196"/>
      <c r="ECK46" s="196"/>
      <c r="ECL46" s="196"/>
      <c r="ECM46" s="196"/>
      <c r="ECN46" s="196"/>
      <c r="ECO46" s="196"/>
      <c r="ECP46" s="647"/>
      <c r="ECQ46" s="196"/>
      <c r="ECR46" s="646"/>
      <c r="ECS46" s="1400"/>
      <c r="ECT46" s="1401"/>
      <c r="ECU46" s="196"/>
      <c r="ECV46" s="196"/>
      <c r="ECW46" s="196"/>
      <c r="ECX46" s="196"/>
      <c r="ECY46" s="196"/>
      <c r="ECZ46" s="196"/>
      <c r="EDA46" s="647"/>
      <c r="EDB46" s="196"/>
      <c r="EDC46" s="646"/>
      <c r="EDD46" s="1400"/>
      <c r="EDE46" s="1401"/>
      <c r="EDF46" s="196"/>
      <c r="EDG46" s="196"/>
      <c r="EDH46" s="196"/>
      <c r="EDI46" s="196"/>
      <c r="EDJ46" s="196"/>
      <c r="EDK46" s="196"/>
      <c r="EDL46" s="647"/>
      <c r="EDM46" s="196"/>
      <c r="EDN46" s="646"/>
      <c r="EDO46" s="1400"/>
      <c r="EDP46" s="1401"/>
      <c r="EDQ46" s="196"/>
      <c r="EDR46" s="196"/>
      <c r="EDS46" s="196"/>
      <c r="EDT46" s="196"/>
      <c r="EDU46" s="196"/>
      <c r="EDV46" s="196"/>
      <c r="EDW46" s="647"/>
      <c r="EDX46" s="196"/>
      <c r="EDY46" s="646"/>
      <c r="EDZ46" s="1400"/>
      <c r="EEA46" s="1401"/>
      <c r="EEB46" s="196"/>
      <c r="EEC46" s="196"/>
      <c r="EED46" s="196"/>
      <c r="EEE46" s="196"/>
      <c r="EEF46" s="196"/>
      <c r="EEG46" s="196"/>
      <c r="EEH46" s="647"/>
      <c r="EEI46" s="196"/>
      <c r="EEJ46" s="646"/>
      <c r="EEK46" s="1400"/>
      <c r="EEL46" s="1401"/>
      <c r="EEM46" s="196"/>
      <c r="EEN46" s="196"/>
      <c r="EEO46" s="196"/>
      <c r="EEP46" s="196"/>
      <c r="EEQ46" s="196"/>
      <c r="EER46" s="196"/>
      <c r="EES46" s="647"/>
      <c r="EET46" s="196"/>
      <c r="EEU46" s="646"/>
      <c r="EEV46" s="1400"/>
      <c r="EEW46" s="1401"/>
      <c r="EEX46" s="196"/>
      <c r="EEY46" s="196"/>
      <c r="EEZ46" s="196"/>
      <c r="EFA46" s="196"/>
      <c r="EFB46" s="196"/>
      <c r="EFC46" s="196"/>
      <c r="EFD46" s="647"/>
      <c r="EFE46" s="196"/>
      <c r="EFF46" s="646"/>
      <c r="EFG46" s="1400"/>
      <c r="EFH46" s="1401"/>
      <c r="EFI46" s="196"/>
      <c r="EFJ46" s="196"/>
      <c r="EFK46" s="196"/>
      <c r="EFL46" s="196"/>
      <c r="EFM46" s="196"/>
      <c r="EFN46" s="196"/>
      <c r="EFO46" s="647"/>
      <c r="EFP46" s="196"/>
      <c r="EFQ46" s="646"/>
      <c r="EFR46" s="1400"/>
      <c r="EFS46" s="1401"/>
      <c r="EFT46" s="196"/>
      <c r="EFU46" s="196"/>
      <c r="EFV46" s="196"/>
      <c r="EFW46" s="196"/>
      <c r="EFX46" s="196"/>
      <c r="EFY46" s="196"/>
      <c r="EFZ46" s="647"/>
      <c r="EGA46" s="196"/>
      <c r="EGB46" s="646"/>
      <c r="EGC46" s="1400"/>
      <c r="EGD46" s="1401"/>
      <c r="EGE46" s="196"/>
      <c r="EGF46" s="196"/>
      <c r="EGG46" s="196"/>
      <c r="EGH46" s="196"/>
      <c r="EGI46" s="196"/>
      <c r="EGJ46" s="196"/>
      <c r="EGK46" s="647"/>
      <c r="EGL46" s="196"/>
      <c r="EGM46" s="646"/>
      <c r="EGN46" s="1400"/>
      <c r="EGO46" s="1401"/>
      <c r="EGP46" s="196"/>
      <c r="EGQ46" s="196"/>
      <c r="EGR46" s="196"/>
      <c r="EGS46" s="196"/>
      <c r="EGT46" s="196"/>
      <c r="EGU46" s="196"/>
      <c r="EGV46" s="647"/>
      <c r="EGW46" s="196"/>
      <c r="EGX46" s="646"/>
      <c r="EGY46" s="1400"/>
      <c r="EGZ46" s="1401"/>
      <c r="EHA46" s="196"/>
      <c r="EHB46" s="196"/>
      <c r="EHC46" s="196"/>
      <c r="EHD46" s="196"/>
      <c r="EHE46" s="196"/>
      <c r="EHF46" s="196"/>
      <c r="EHG46" s="647"/>
      <c r="EHH46" s="196"/>
      <c r="EHI46" s="646"/>
      <c r="EHJ46" s="1400"/>
      <c r="EHK46" s="1401"/>
      <c r="EHL46" s="196"/>
      <c r="EHM46" s="196"/>
      <c r="EHN46" s="196"/>
      <c r="EHO46" s="196"/>
      <c r="EHP46" s="196"/>
      <c r="EHQ46" s="196"/>
      <c r="EHR46" s="647"/>
      <c r="EHS46" s="196"/>
      <c r="EHT46" s="646"/>
      <c r="EHU46" s="1400"/>
      <c r="EHV46" s="1401"/>
      <c r="EHW46" s="196"/>
      <c r="EHX46" s="196"/>
      <c r="EHY46" s="196"/>
      <c r="EHZ46" s="196"/>
      <c r="EIA46" s="196"/>
      <c r="EIB46" s="196"/>
      <c r="EIC46" s="647"/>
      <c r="EID46" s="196"/>
      <c r="EIE46" s="646"/>
      <c r="EIF46" s="1400"/>
      <c r="EIG46" s="1401"/>
      <c r="EIH46" s="196"/>
      <c r="EII46" s="196"/>
      <c r="EIJ46" s="196"/>
      <c r="EIK46" s="196"/>
      <c r="EIL46" s="196"/>
      <c r="EIM46" s="196"/>
      <c r="EIN46" s="647"/>
      <c r="EIO46" s="196"/>
      <c r="EIP46" s="646"/>
      <c r="EIQ46" s="1400"/>
      <c r="EIR46" s="1401"/>
      <c r="EIS46" s="196"/>
      <c r="EIT46" s="196"/>
      <c r="EIU46" s="196"/>
      <c r="EIV46" s="196"/>
      <c r="EIW46" s="196"/>
      <c r="EIX46" s="196"/>
      <c r="EIY46" s="647"/>
      <c r="EIZ46" s="196"/>
      <c r="EJA46" s="646"/>
      <c r="EJB46" s="1400"/>
      <c r="EJC46" s="1401"/>
      <c r="EJD46" s="196"/>
      <c r="EJE46" s="196"/>
      <c r="EJF46" s="196"/>
      <c r="EJG46" s="196"/>
      <c r="EJH46" s="196"/>
      <c r="EJI46" s="196"/>
      <c r="EJJ46" s="647"/>
      <c r="EJK46" s="196"/>
      <c r="EJL46" s="646"/>
      <c r="EJM46" s="1400"/>
      <c r="EJN46" s="1401"/>
      <c r="EJO46" s="196"/>
      <c r="EJP46" s="196"/>
      <c r="EJQ46" s="196"/>
      <c r="EJR46" s="196"/>
      <c r="EJS46" s="196"/>
      <c r="EJT46" s="196"/>
      <c r="EJU46" s="647"/>
      <c r="EJV46" s="196"/>
      <c r="EJW46" s="646"/>
      <c r="EJX46" s="1400"/>
      <c r="EJY46" s="1401"/>
      <c r="EJZ46" s="196"/>
      <c r="EKA46" s="196"/>
      <c r="EKB46" s="196"/>
      <c r="EKC46" s="196"/>
      <c r="EKD46" s="196"/>
      <c r="EKE46" s="196"/>
      <c r="EKF46" s="647"/>
      <c r="EKG46" s="196"/>
      <c r="EKH46" s="646"/>
      <c r="EKI46" s="1400"/>
      <c r="EKJ46" s="1401"/>
      <c r="EKK46" s="196"/>
      <c r="EKL46" s="196"/>
      <c r="EKM46" s="196"/>
      <c r="EKN46" s="196"/>
      <c r="EKO46" s="196"/>
      <c r="EKP46" s="196"/>
      <c r="EKQ46" s="647"/>
      <c r="EKR46" s="196"/>
      <c r="EKS46" s="646"/>
      <c r="EKT46" s="1400"/>
      <c r="EKU46" s="1401"/>
      <c r="EKV46" s="196"/>
      <c r="EKW46" s="196"/>
      <c r="EKX46" s="196"/>
      <c r="EKY46" s="196"/>
      <c r="EKZ46" s="196"/>
      <c r="ELA46" s="196"/>
      <c r="ELB46" s="647"/>
      <c r="ELC46" s="196"/>
      <c r="ELD46" s="646"/>
      <c r="ELE46" s="1400"/>
      <c r="ELF46" s="1401"/>
      <c r="ELG46" s="196"/>
      <c r="ELH46" s="196"/>
      <c r="ELI46" s="196"/>
      <c r="ELJ46" s="196"/>
      <c r="ELK46" s="196"/>
      <c r="ELL46" s="196"/>
      <c r="ELM46" s="647"/>
      <c r="ELN46" s="196"/>
      <c r="ELO46" s="646"/>
      <c r="ELP46" s="1400"/>
      <c r="ELQ46" s="1401"/>
      <c r="ELR46" s="196"/>
      <c r="ELS46" s="196"/>
      <c r="ELT46" s="196"/>
      <c r="ELU46" s="196"/>
      <c r="ELV46" s="196"/>
      <c r="ELW46" s="196"/>
      <c r="ELX46" s="647"/>
      <c r="ELY46" s="196"/>
      <c r="ELZ46" s="646"/>
      <c r="EMA46" s="1400"/>
      <c r="EMB46" s="1401"/>
      <c r="EMC46" s="196"/>
      <c r="EMD46" s="196"/>
      <c r="EME46" s="196"/>
      <c r="EMF46" s="196"/>
      <c r="EMG46" s="196"/>
      <c r="EMH46" s="196"/>
      <c r="EMI46" s="647"/>
      <c r="EMJ46" s="196"/>
      <c r="EMK46" s="646"/>
      <c r="EML46" s="1400"/>
      <c r="EMM46" s="1401"/>
      <c r="EMN46" s="196"/>
      <c r="EMO46" s="196"/>
      <c r="EMP46" s="196"/>
      <c r="EMQ46" s="196"/>
      <c r="EMR46" s="196"/>
      <c r="EMS46" s="196"/>
      <c r="EMT46" s="647"/>
      <c r="EMU46" s="196"/>
      <c r="EMV46" s="646"/>
      <c r="EMW46" s="1400"/>
      <c r="EMX46" s="1401"/>
      <c r="EMY46" s="196"/>
      <c r="EMZ46" s="196"/>
      <c r="ENA46" s="196"/>
      <c r="ENB46" s="196"/>
      <c r="ENC46" s="196"/>
      <c r="END46" s="196"/>
      <c r="ENE46" s="647"/>
      <c r="ENF46" s="196"/>
      <c r="ENG46" s="646"/>
      <c r="ENH46" s="1400"/>
      <c r="ENI46" s="1401"/>
      <c r="ENJ46" s="196"/>
      <c r="ENK46" s="196"/>
      <c r="ENL46" s="196"/>
      <c r="ENM46" s="196"/>
      <c r="ENN46" s="196"/>
      <c r="ENO46" s="196"/>
      <c r="ENP46" s="647"/>
      <c r="ENQ46" s="196"/>
      <c r="ENR46" s="646"/>
      <c r="ENS46" s="1400"/>
      <c r="ENT46" s="1401"/>
      <c r="ENU46" s="196"/>
      <c r="ENV46" s="196"/>
      <c r="ENW46" s="196"/>
      <c r="ENX46" s="196"/>
      <c r="ENY46" s="196"/>
      <c r="ENZ46" s="196"/>
      <c r="EOA46" s="647"/>
      <c r="EOB46" s="196"/>
      <c r="EOC46" s="646"/>
      <c r="EOD46" s="1400"/>
      <c r="EOE46" s="1401"/>
      <c r="EOF46" s="196"/>
      <c r="EOG46" s="196"/>
      <c r="EOH46" s="196"/>
      <c r="EOI46" s="196"/>
      <c r="EOJ46" s="196"/>
      <c r="EOK46" s="196"/>
      <c r="EOL46" s="647"/>
      <c r="EOM46" s="196"/>
      <c r="EON46" s="646"/>
      <c r="EOO46" s="1400"/>
      <c r="EOP46" s="1401"/>
      <c r="EOQ46" s="196"/>
      <c r="EOR46" s="196"/>
      <c r="EOS46" s="196"/>
      <c r="EOT46" s="196"/>
      <c r="EOU46" s="196"/>
      <c r="EOV46" s="196"/>
      <c r="EOW46" s="647"/>
      <c r="EOX46" s="196"/>
      <c r="EOY46" s="646"/>
      <c r="EOZ46" s="1400"/>
      <c r="EPA46" s="1401"/>
      <c r="EPB46" s="196"/>
      <c r="EPC46" s="196"/>
      <c r="EPD46" s="196"/>
      <c r="EPE46" s="196"/>
      <c r="EPF46" s="196"/>
      <c r="EPG46" s="196"/>
      <c r="EPH46" s="647"/>
      <c r="EPI46" s="196"/>
      <c r="EPJ46" s="646"/>
      <c r="EPK46" s="1400"/>
      <c r="EPL46" s="1401"/>
      <c r="EPM46" s="196"/>
      <c r="EPN46" s="196"/>
      <c r="EPO46" s="196"/>
      <c r="EPP46" s="196"/>
      <c r="EPQ46" s="196"/>
      <c r="EPR46" s="196"/>
      <c r="EPS46" s="647"/>
      <c r="EPT46" s="196"/>
      <c r="EPU46" s="646"/>
      <c r="EPV46" s="1400"/>
      <c r="EPW46" s="1401"/>
      <c r="EPX46" s="196"/>
      <c r="EPY46" s="196"/>
      <c r="EPZ46" s="196"/>
      <c r="EQA46" s="196"/>
      <c r="EQB46" s="196"/>
      <c r="EQC46" s="196"/>
      <c r="EQD46" s="647"/>
      <c r="EQE46" s="196"/>
      <c r="EQF46" s="646"/>
      <c r="EQG46" s="1400"/>
      <c r="EQH46" s="1401"/>
      <c r="EQI46" s="196"/>
      <c r="EQJ46" s="196"/>
      <c r="EQK46" s="196"/>
      <c r="EQL46" s="196"/>
      <c r="EQM46" s="196"/>
      <c r="EQN46" s="196"/>
      <c r="EQO46" s="647"/>
      <c r="EQP46" s="196"/>
      <c r="EQQ46" s="646"/>
      <c r="EQR46" s="1400"/>
      <c r="EQS46" s="1401"/>
      <c r="EQT46" s="196"/>
      <c r="EQU46" s="196"/>
      <c r="EQV46" s="196"/>
      <c r="EQW46" s="196"/>
      <c r="EQX46" s="196"/>
      <c r="EQY46" s="196"/>
      <c r="EQZ46" s="647"/>
      <c r="ERA46" s="196"/>
      <c r="ERB46" s="646"/>
      <c r="ERC46" s="1400"/>
      <c r="ERD46" s="1401"/>
      <c r="ERE46" s="196"/>
      <c r="ERF46" s="196"/>
      <c r="ERG46" s="196"/>
      <c r="ERH46" s="196"/>
      <c r="ERI46" s="196"/>
      <c r="ERJ46" s="196"/>
      <c r="ERK46" s="647"/>
      <c r="ERL46" s="196"/>
      <c r="ERM46" s="646"/>
      <c r="ERN46" s="1400"/>
      <c r="ERO46" s="1401"/>
      <c r="ERP46" s="196"/>
      <c r="ERQ46" s="196"/>
      <c r="ERR46" s="196"/>
      <c r="ERS46" s="196"/>
      <c r="ERT46" s="196"/>
      <c r="ERU46" s="196"/>
      <c r="ERV46" s="647"/>
      <c r="ERW46" s="196"/>
      <c r="ERX46" s="646"/>
      <c r="ERY46" s="1400"/>
      <c r="ERZ46" s="1401"/>
      <c r="ESA46" s="196"/>
      <c r="ESB46" s="196"/>
      <c r="ESC46" s="196"/>
      <c r="ESD46" s="196"/>
      <c r="ESE46" s="196"/>
      <c r="ESF46" s="196"/>
      <c r="ESG46" s="647"/>
      <c r="ESH46" s="196"/>
      <c r="ESI46" s="646"/>
      <c r="ESJ46" s="1400"/>
      <c r="ESK46" s="1401"/>
      <c r="ESL46" s="196"/>
      <c r="ESM46" s="196"/>
      <c r="ESN46" s="196"/>
      <c r="ESO46" s="196"/>
      <c r="ESP46" s="196"/>
      <c r="ESQ46" s="196"/>
      <c r="ESR46" s="647"/>
      <c r="ESS46" s="196"/>
      <c r="EST46" s="646"/>
      <c r="ESU46" s="1400"/>
      <c r="ESV46" s="1401"/>
      <c r="ESW46" s="196"/>
      <c r="ESX46" s="196"/>
      <c r="ESY46" s="196"/>
      <c r="ESZ46" s="196"/>
      <c r="ETA46" s="196"/>
      <c r="ETB46" s="196"/>
      <c r="ETC46" s="647"/>
      <c r="ETD46" s="196"/>
      <c r="ETE46" s="646"/>
      <c r="ETF46" s="1400"/>
      <c r="ETG46" s="1401"/>
      <c r="ETH46" s="196"/>
      <c r="ETI46" s="196"/>
      <c r="ETJ46" s="196"/>
      <c r="ETK46" s="196"/>
      <c r="ETL46" s="196"/>
      <c r="ETM46" s="196"/>
      <c r="ETN46" s="647"/>
      <c r="ETO46" s="196"/>
      <c r="ETP46" s="646"/>
      <c r="ETQ46" s="1400"/>
      <c r="ETR46" s="1401"/>
      <c r="ETS46" s="196"/>
      <c r="ETT46" s="196"/>
      <c r="ETU46" s="196"/>
      <c r="ETV46" s="196"/>
      <c r="ETW46" s="196"/>
      <c r="ETX46" s="196"/>
      <c r="ETY46" s="647"/>
      <c r="ETZ46" s="196"/>
      <c r="EUA46" s="646"/>
      <c r="EUB46" s="1400"/>
      <c r="EUC46" s="1401"/>
      <c r="EUD46" s="196"/>
      <c r="EUE46" s="196"/>
      <c r="EUF46" s="196"/>
      <c r="EUG46" s="196"/>
      <c r="EUH46" s="196"/>
      <c r="EUI46" s="196"/>
      <c r="EUJ46" s="647"/>
      <c r="EUK46" s="196"/>
      <c r="EUL46" s="646"/>
      <c r="EUM46" s="1400"/>
      <c r="EUN46" s="1401"/>
      <c r="EUO46" s="196"/>
      <c r="EUP46" s="196"/>
      <c r="EUQ46" s="196"/>
      <c r="EUR46" s="196"/>
      <c r="EUS46" s="196"/>
      <c r="EUT46" s="196"/>
      <c r="EUU46" s="647"/>
      <c r="EUV46" s="196"/>
      <c r="EUW46" s="646"/>
      <c r="EUX46" s="1400"/>
      <c r="EUY46" s="1401"/>
      <c r="EUZ46" s="196"/>
      <c r="EVA46" s="196"/>
      <c r="EVB46" s="196"/>
      <c r="EVC46" s="196"/>
      <c r="EVD46" s="196"/>
      <c r="EVE46" s="196"/>
      <c r="EVF46" s="647"/>
      <c r="EVG46" s="196"/>
      <c r="EVH46" s="646"/>
      <c r="EVI46" s="1400"/>
      <c r="EVJ46" s="1401"/>
      <c r="EVK46" s="196"/>
      <c r="EVL46" s="196"/>
      <c r="EVM46" s="196"/>
      <c r="EVN46" s="196"/>
      <c r="EVO46" s="196"/>
      <c r="EVP46" s="196"/>
      <c r="EVQ46" s="647"/>
      <c r="EVR46" s="196"/>
      <c r="EVS46" s="646"/>
      <c r="EVT46" s="1400"/>
      <c r="EVU46" s="1401"/>
      <c r="EVV46" s="196"/>
      <c r="EVW46" s="196"/>
      <c r="EVX46" s="196"/>
      <c r="EVY46" s="196"/>
      <c r="EVZ46" s="196"/>
      <c r="EWA46" s="196"/>
      <c r="EWB46" s="647"/>
      <c r="EWC46" s="196"/>
      <c r="EWD46" s="646"/>
      <c r="EWE46" s="1400"/>
      <c r="EWF46" s="1401"/>
      <c r="EWG46" s="196"/>
      <c r="EWH46" s="196"/>
      <c r="EWI46" s="196"/>
      <c r="EWJ46" s="196"/>
      <c r="EWK46" s="196"/>
      <c r="EWL46" s="196"/>
      <c r="EWM46" s="647"/>
      <c r="EWN46" s="196"/>
      <c r="EWO46" s="646"/>
      <c r="EWP46" s="1400"/>
      <c r="EWQ46" s="1401"/>
      <c r="EWR46" s="196"/>
      <c r="EWS46" s="196"/>
      <c r="EWT46" s="196"/>
      <c r="EWU46" s="196"/>
      <c r="EWV46" s="196"/>
      <c r="EWW46" s="196"/>
      <c r="EWX46" s="647"/>
      <c r="EWY46" s="196"/>
      <c r="EWZ46" s="646"/>
      <c r="EXA46" s="1400"/>
      <c r="EXB46" s="1401"/>
      <c r="EXC46" s="196"/>
      <c r="EXD46" s="196"/>
      <c r="EXE46" s="196"/>
      <c r="EXF46" s="196"/>
      <c r="EXG46" s="196"/>
      <c r="EXH46" s="196"/>
      <c r="EXI46" s="647"/>
      <c r="EXJ46" s="196"/>
      <c r="EXK46" s="646"/>
      <c r="EXL46" s="1400"/>
      <c r="EXM46" s="1401"/>
      <c r="EXN46" s="196"/>
      <c r="EXO46" s="196"/>
      <c r="EXP46" s="196"/>
      <c r="EXQ46" s="196"/>
      <c r="EXR46" s="196"/>
      <c r="EXS46" s="196"/>
      <c r="EXT46" s="647"/>
      <c r="EXU46" s="196"/>
      <c r="EXV46" s="646"/>
      <c r="EXW46" s="1400"/>
      <c r="EXX46" s="1401"/>
      <c r="EXY46" s="196"/>
      <c r="EXZ46" s="196"/>
      <c r="EYA46" s="196"/>
      <c r="EYB46" s="196"/>
      <c r="EYC46" s="196"/>
      <c r="EYD46" s="196"/>
      <c r="EYE46" s="647"/>
      <c r="EYF46" s="196"/>
      <c r="EYG46" s="646"/>
      <c r="EYH46" s="1400"/>
      <c r="EYI46" s="1401"/>
      <c r="EYJ46" s="196"/>
      <c r="EYK46" s="196"/>
      <c r="EYL46" s="196"/>
      <c r="EYM46" s="196"/>
      <c r="EYN46" s="196"/>
      <c r="EYO46" s="196"/>
      <c r="EYP46" s="647"/>
      <c r="EYQ46" s="196"/>
      <c r="EYR46" s="646"/>
      <c r="EYS46" s="1400"/>
      <c r="EYT46" s="1401"/>
      <c r="EYU46" s="196"/>
      <c r="EYV46" s="196"/>
      <c r="EYW46" s="196"/>
      <c r="EYX46" s="196"/>
      <c r="EYY46" s="196"/>
      <c r="EYZ46" s="196"/>
      <c r="EZA46" s="647"/>
      <c r="EZB46" s="196"/>
      <c r="EZC46" s="646"/>
      <c r="EZD46" s="1400"/>
      <c r="EZE46" s="1401"/>
      <c r="EZF46" s="196"/>
      <c r="EZG46" s="196"/>
      <c r="EZH46" s="196"/>
      <c r="EZI46" s="196"/>
      <c r="EZJ46" s="196"/>
      <c r="EZK46" s="196"/>
      <c r="EZL46" s="647"/>
      <c r="EZM46" s="196"/>
      <c r="EZN46" s="646"/>
      <c r="EZO46" s="1400"/>
      <c r="EZP46" s="1401"/>
      <c r="EZQ46" s="196"/>
      <c r="EZR46" s="196"/>
      <c r="EZS46" s="196"/>
      <c r="EZT46" s="196"/>
      <c r="EZU46" s="196"/>
      <c r="EZV46" s="196"/>
      <c r="EZW46" s="647"/>
      <c r="EZX46" s="196"/>
      <c r="EZY46" s="646"/>
      <c r="EZZ46" s="1400"/>
      <c r="FAA46" s="1401"/>
      <c r="FAB46" s="196"/>
      <c r="FAC46" s="196"/>
      <c r="FAD46" s="196"/>
      <c r="FAE46" s="196"/>
      <c r="FAF46" s="196"/>
      <c r="FAG46" s="196"/>
      <c r="FAH46" s="647"/>
      <c r="FAI46" s="196"/>
      <c r="FAJ46" s="646"/>
      <c r="FAK46" s="1400"/>
      <c r="FAL46" s="1401"/>
      <c r="FAM46" s="196"/>
      <c r="FAN46" s="196"/>
      <c r="FAO46" s="196"/>
      <c r="FAP46" s="196"/>
      <c r="FAQ46" s="196"/>
      <c r="FAR46" s="196"/>
      <c r="FAS46" s="647"/>
      <c r="FAT46" s="196"/>
      <c r="FAU46" s="646"/>
      <c r="FAV46" s="1400"/>
      <c r="FAW46" s="1401"/>
      <c r="FAX46" s="196"/>
      <c r="FAY46" s="196"/>
      <c r="FAZ46" s="196"/>
      <c r="FBA46" s="196"/>
      <c r="FBB46" s="196"/>
      <c r="FBC46" s="196"/>
      <c r="FBD46" s="647"/>
      <c r="FBE46" s="196"/>
      <c r="FBF46" s="646"/>
      <c r="FBG46" s="1400"/>
      <c r="FBH46" s="1401"/>
      <c r="FBI46" s="196"/>
      <c r="FBJ46" s="196"/>
      <c r="FBK46" s="196"/>
      <c r="FBL46" s="196"/>
      <c r="FBM46" s="196"/>
      <c r="FBN46" s="196"/>
      <c r="FBO46" s="647"/>
      <c r="FBP46" s="196"/>
      <c r="FBQ46" s="646"/>
      <c r="FBR46" s="1400"/>
      <c r="FBS46" s="1401"/>
      <c r="FBT46" s="196"/>
      <c r="FBU46" s="196"/>
      <c r="FBV46" s="196"/>
      <c r="FBW46" s="196"/>
      <c r="FBX46" s="196"/>
      <c r="FBY46" s="196"/>
      <c r="FBZ46" s="647"/>
      <c r="FCA46" s="196"/>
      <c r="FCB46" s="646"/>
      <c r="FCC46" s="1400"/>
      <c r="FCD46" s="1401"/>
      <c r="FCE46" s="196"/>
      <c r="FCF46" s="196"/>
      <c r="FCG46" s="196"/>
      <c r="FCH46" s="196"/>
      <c r="FCI46" s="196"/>
      <c r="FCJ46" s="196"/>
      <c r="FCK46" s="647"/>
      <c r="FCL46" s="196"/>
      <c r="FCM46" s="646"/>
      <c r="FCN46" s="1400"/>
      <c r="FCO46" s="1401"/>
      <c r="FCP46" s="196"/>
      <c r="FCQ46" s="196"/>
      <c r="FCR46" s="196"/>
      <c r="FCS46" s="196"/>
      <c r="FCT46" s="196"/>
      <c r="FCU46" s="196"/>
      <c r="FCV46" s="647"/>
      <c r="FCW46" s="196"/>
      <c r="FCX46" s="646"/>
      <c r="FCY46" s="1400"/>
      <c r="FCZ46" s="1401"/>
      <c r="FDA46" s="196"/>
      <c r="FDB46" s="196"/>
      <c r="FDC46" s="196"/>
      <c r="FDD46" s="196"/>
      <c r="FDE46" s="196"/>
      <c r="FDF46" s="196"/>
      <c r="FDG46" s="647"/>
      <c r="FDH46" s="196"/>
      <c r="FDI46" s="646"/>
      <c r="FDJ46" s="1400"/>
      <c r="FDK46" s="1401"/>
      <c r="FDL46" s="196"/>
      <c r="FDM46" s="196"/>
      <c r="FDN46" s="196"/>
      <c r="FDO46" s="196"/>
      <c r="FDP46" s="196"/>
      <c r="FDQ46" s="196"/>
      <c r="FDR46" s="647"/>
      <c r="FDS46" s="196"/>
      <c r="FDT46" s="646"/>
      <c r="FDU46" s="1400"/>
      <c r="FDV46" s="1401"/>
      <c r="FDW46" s="196"/>
      <c r="FDX46" s="196"/>
      <c r="FDY46" s="196"/>
      <c r="FDZ46" s="196"/>
      <c r="FEA46" s="196"/>
      <c r="FEB46" s="196"/>
      <c r="FEC46" s="647"/>
      <c r="FED46" s="196"/>
      <c r="FEE46" s="646"/>
      <c r="FEF46" s="1400"/>
      <c r="FEG46" s="1401"/>
      <c r="FEH46" s="196"/>
      <c r="FEI46" s="196"/>
      <c r="FEJ46" s="196"/>
      <c r="FEK46" s="196"/>
      <c r="FEL46" s="196"/>
      <c r="FEM46" s="196"/>
      <c r="FEN46" s="647"/>
      <c r="FEO46" s="196"/>
      <c r="FEP46" s="646"/>
      <c r="FEQ46" s="1400"/>
      <c r="FER46" s="1401"/>
      <c r="FES46" s="196"/>
      <c r="FET46" s="196"/>
      <c r="FEU46" s="196"/>
      <c r="FEV46" s="196"/>
      <c r="FEW46" s="196"/>
      <c r="FEX46" s="196"/>
      <c r="FEY46" s="647"/>
      <c r="FEZ46" s="196"/>
      <c r="FFA46" s="646"/>
      <c r="FFB46" s="1400"/>
      <c r="FFC46" s="1401"/>
      <c r="FFD46" s="196"/>
      <c r="FFE46" s="196"/>
      <c r="FFF46" s="196"/>
      <c r="FFG46" s="196"/>
      <c r="FFH46" s="196"/>
      <c r="FFI46" s="196"/>
      <c r="FFJ46" s="647"/>
      <c r="FFK46" s="196"/>
      <c r="FFL46" s="646"/>
      <c r="FFM46" s="1400"/>
      <c r="FFN46" s="1401"/>
      <c r="FFO46" s="196"/>
      <c r="FFP46" s="196"/>
      <c r="FFQ46" s="196"/>
      <c r="FFR46" s="196"/>
      <c r="FFS46" s="196"/>
      <c r="FFT46" s="196"/>
      <c r="FFU46" s="647"/>
      <c r="FFV46" s="196"/>
      <c r="FFW46" s="646"/>
      <c r="FFX46" s="1400"/>
      <c r="FFY46" s="1401"/>
      <c r="FFZ46" s="196"/>
      <c r="FGA46" s="196"/>
      <c r="FGB46" s="196"/>
      <c r="FGC46" s="196"/>
      <c r="FGD46" s="196"/>
      <c r="FGE46" s="196"/>
      <c r="FGF46" s="647"/>
      <c r="FGG46" s="196"/>
      <c r="FGH46" s="646"/>
      <c r="FGI46" s="1400"/>
      <c r="FGJ46" s="1401"/>
      <c r="FGK46" s="196"/>
      <c r="FGL46" s="196"/>
      <c r="FGM46" s="196"/>
      <c r="FGN46" s="196"/>
      <c r="FGO46" s="196"/>
      <c r="FGP46" s="196"/>
      <c r="FGQ46" s="647"/>
      <c r="FGR46" s="196"/>
      <c r="FGS46" s="646"/>
      <c r="FGT46" s="1400"/>
      <c r="FGU46" s="1401"/>
      <c r="FGV46" s="196"/>
      <c r="FGW46" s="196"/>
      <c r="FGX46" s="196"/>
      <c r="FGY46" s="196"/>
      <c r="FGZ46" s="196"/>
      <c r="FHA46" s="196"/>
      <c r="FHB46" s="647"/>
      <c r="FHC46" s="196"/>
      <c r="FHD46" s="646"/>
      <c r="FHE46" s="1400"/>
      <c r="FHF46" s="1401"/>
      <c r="FHG46" s="196"/>
      <c r="FHH46" s="196"/>
      <c r="FHI46" s="196"/>
      <c r="FHJ46" s="196"/>
      <c r="FHK46" s="196"/>
      <c r="FHL46" s="196"/>
      <c r="FHM46" s="647"/>
      <c r="FHN46" s="196"/>
      <c r="FHO46" s="646"/>
      <c r="FHP46" s="1400"/>
      <c r="FHQ46" s="1401"/>
      <c r="FHR46" s="196"/>
      <c r="FHS46" s="196"/>
      <c r="FHT46" s="196"/>
      <c r="FHU46" s="196"/>
      <c r="FHV46" s="196"/>
      <c r="FHW46" s="196"/>
      <c r="FHX46" s="647"/>
      <c r="FHY46" s="196"/>
      <c r="FHZ46" s="646"/>
      <c r="FIA46" s="1400"/>
      <c r="FIB46" s="1401"/>
      <c r="FIC46" s="196"/>
      <c r="FID46" s="196"/>
      <c r="FIE46" s="196"/>
      <c r="FIF46" s="196"/>
      <c r="FIG46" s="196"/>
      <c r="FIH46" s="196"/>
      <c r="FII46" s="647"/>
      <c r="FIJ46" s="196"/>
      <c r="FIK46" s="646"/>
      <c r="FIL46" s="1400"/>
      <c r="FIM46" s="1401"/>
      <c r="FIN46" s="196"/>
      <c r="FIO46" s="196"/>
      <c r="FIP46" s="196"/>
      <c r="FIQ46" s="196"/>
      <c r="FIR46" s="196"/>
      <c r="FIS46" s="196"/>
      <c r="FIT46" s="647"/>
      <c r="FIU46" s="196"/>
      <c r="FIV46" s="646"/>
      <c r="FIW46" s="1400"/>
      <c r="FIX46" s="1401"/>
      <c r="FIY46" s="196"/>
      <c r="FIZ46" s="196"/>
      <c r="FJA46" s="196"/>
      <c r="FJB46" s="196"/>
      <c r="FJC46" s="196"/>
      <c r="FJD46" s="196"/>
      <c r="FJE46" s="647"/>
      <c r="FJF46" s="196"/>
      <c r="FJG46" s="646"/>
      <c r="FJH46" s="1400"/>
      <c r="FJI46" s="1401"/>
      <c r="FJJ46" s="196"/>
      <c r="FJK46" s="196"/>
      <c r="FJL46" s="196"/>
      <c r="FJM46" s="196"/>
      <c r="FJN46" s="196"/>
      <c r="FJO46" s="196"/>
      <c r="FJP46" s="647"/>
      <c r="FJQ46" s="196"/>
      <c r="FJR46" s="646"/>
      <c r="FJS46" s="1400"/>
      <c r="FJT46" s="1401"/>
      <c r="FJU46" s="196"/>
      <c r="FJV46" s="196"/>
      <c r="FJW46" s="196"/>
      <c r="FJX46" s="196"/>
      <c r="FJY46" s="196"/>
      <c r="FJZ46" s="196"/>
      <c r="FKA46" s="647"/>
      <c r="FKB46" s="196"/>
      <c r="FKC46" s="646"/>
      <c r="FKD46" s="1400"/>
      <c r="FKE46" s="1401"/>
      <c r="FKF46" s="196"/>
      <c r="FKG46" s="196"/>
      <c r="FKH46" s="196"/>
      <c r="FKI46" s="196"/>
      <c r="FKJ46" s="196"/>
      <c r="FKK46" s="196"/>
      <c r="FKL46" s="647"/>
      <c r="FKM46" s="196"/>
      <c r="FKN46" s="646"/>
      <c r="FKO46" s="1400"/>
      <c r="FKP46" s="1401"/>
      <c r="FKQ46" s="196"/>
      <c r="FKR46" s="196"/>
      <c r="FKS46" s="196"/>
      <c r="FKT46" s="196"/>
      <c r="FKU46" s="196"/>
      <c r="FKV46" s="196"/>
      <c r="FKW46" s="647"/>
      <c r="FKX46" s="196"/>
      <c r="FKY46" s="646"/>
      <c r="FKZ46" s="1400"/>
      <c r="FLA46" s="1401"/>
      <c r="FLB46" s="196"/>
      <c r="FLC46" s="196"/>
      <c r="FLD46" s="196"/>
      <c r="FLE46" s="196"/>
      <c r="FLF46" s="196"/>
      <c r="FLG46" s="196"/>
      <c r="FLH46" s="647"/>
      <c r="FLI46" s="196"/>
      <c r="FLJ46" s="646"/>
      <c r="FLK46" s="1400"/>
      <c r="FLL46" s="1401"/>
      <c r="FLM46" s="196"/>
      <c r="FLN46" s="196"/>
      <c r="FLO46" s="196"/>
      <c r="FLP46" s="196"/>
      <c r="FLQ46" s="196"/>
      <c r="FLR46" s="196"/>
      <c r="FLS46" s="647"/>
      <c r="FLT46" s="196"/>
      <c r="FLU46" s="646"/>
      <c r="FLV46" s="1400"/>
      <c r="FLW46" s="1401"/>
      <c r="FLX46" s="196"/>
      <c r="FLY46" s="196"/>
      <c r="FLZ46" s="196"/>
      <c r="FMA46" s="196"/>
      <c r="FMB46" s="196"/>
      <c r="FMC46" s="196"/>
      <c r="FMD46" s="647"/>
      <c r="FME46" s="196"/>
      <c r="FMF46" s="646"/>
      <c r="FMG46" s="1400"/>
      <c r="FMH46" s="1401"/>
      <c r="FMI46" s="196"/>
      <c r="FMJ46" s="196"/>
      <c r="FMK46" s="196"/>
      <c r="FML46" s="196"/>
      <c r="FMM46" s="196"/>
      <c r="FMN46" s="196"/>
      <c r="FMO46" s="647"/>
      <c r="FMP46" s="196"/>
      <c r="FMQ46" s="646"/>
      <c r="FMR46" s="1400"/>
      <c r="FMS46" s="1401"/>
      <c r="FMT46" s="196"/>
      <c r="FMU46" s="196"/>
      <c r="FMV46" s="196"/>
      <c r="FMW46" s="196"/>
      <c r="FMX46" s="196"/>
      <c r="FMY46" s="196"/>
      <c r="FMZ46" s="647"/>
      <c r="FNA46" s="196"/>
      <c r="FNB46" s="646"/>
      <c r="FNC46" s="1400"/>
      <c r="FND46" s="1401"/>
      <c r="FNE46" s="196"/>
      <c r="FNF46" s="196"/>
      <c r="FNG46" s="196"/>
      <c r="FNH46" s="196"/>
      <c r="FNI46" s="196"/>
      <c r="FNJ46" s="196"/>
      <c r="FNK46" s="647"/>
      <c r="FNL46" s="196"/>
      <c r="FNM46" s="646"/>
      <c r="FNN46" s="1400"/>
      <c r="FNO46" s="1401"/>
      <c r="FNP46" s="196"/>
      <c r="FNQ46" s="196"/>
      <c r="FNR46" s="196"/>
      <c r="FNS46" s="196"/>
      <c r="FNT46" s="196"/>
      <c r="FNU46" s="196"/>
      <c r="FNV46" s="647"/>
      <c r="FNW46" s="196"/>
      <c r="FNX46" s="646"/>
      <c r="FNY46" s="1400"/>
      <c r="FNZ46" s="1401"/>
      <c r="FOA46" s="196"/>
      <c r="FOB46" s="196"/>
      <c r="FOC46" s="196"/>
      <c r="FOD46" s="196"/>
      <c r="FOE46" s="196"/>
      <c r="FOF46" s="196"/>
      <c r="FOG46" s="647"/>
      <c r="FOH46" s="196"/>
      <c r="FOI46" s="646"/>
      <c r="FOJ46" s="1400"/>
      <c r="FOK46" s="1401"/>
      <c r="FOL46" s="196"/>
      <c r="FOM46" s="196"/>
      <c r="FON46" s="196"/>
      <c r="FOO46" s="196"/>
      <c r="FOP46" s="196"/>
      <c r="FOQ46" s="196"/>
      <c r="FOR46" s="647"/>
      <c r="FOS46" s="196"/>
      <c r="FOT46" s="646"/>
      <c r="FOU46" s="1400"/>
      <c r="FOV46" s="1401"/>
      <c r="FOW46" s="196"/>
      <c r="FOX46" s="196"/>
      <c r="FOY46" s="196"/>
      <c r="FOZ46" s="196"/>
      <c r="FPA46" s="196"/>
      <c r="FPB46" s="196"/>
      <c r="FPC46" s="647"/>
      <c r="FPD46" s="196"/>
      <c r="FPE46" s="646"/>
      <c r="FPF46" s="1400"/>
      <c r="FPG46" s="1401"/>
      <c r="FPH46" s="196"/>
      <c r="FPI46" s="196"/>
      <c r="FPJ46" s="196"/>
      <c r="FPK46" s="196"/>
      <c r="FPL46" s="196"/>
      <c r="FPM46" s="196"/>
      <c r="FPN46" s="647"/>
      <c r="FPO46" s="196"/>
      <c r="FPP46" s="646"/>
      <c r="FPQ46" s="1400"/>
      <c r="FPR46" s="1401"/>
      <c r="FPS46" s="196"/>
      <c r="FPT46" s="196"/>
      <c r="FPU46" s="196"/>
      <c r="FPV46" s="196"/>
      <c r="FPW46" s="196"/>
      <c r="FPX46" s="196"/>
      <c r="FPY46" s="647"/>
      <c r="FPZ46" s="196"/>
      <c r="FQA46" s="646"/>
      <c r="FQB46" s="1400"/>
      <c r="FQC46" s="1401"/>
      <c r="FQD46" s="196"/>
      <c r="FQE46" s="196"/>
      <c r="FQF46" s="196"/>
      <c r="FQG46" s="196"/>
      <c r="FQH46" s="196"/>
      <c r="FQI46" s="196"/>
      <c r="FQJ46" s="647"/>
      <c r="FQK46" s="196"/>
      <c r="FQL46" s="646"/>
      <c r="FQM46" s="1400"/>
      <c r="FQN46" s="1401"/>
      <c r="FQO46" s="196"/>
      <c r="FQP46" s="196"/>
      <c r="FQQ46" s="196"/>
      <c r="FQR46" s="196"/>
      <c r="FQS46" s="196"/>
      <c r="FQT46" s="196"/>
      <c r="FQU46" s="647"/>
      <c r="FQV46" s="196"/>
      <c r="FQW46" s="646"/>
      <c r="FQX46" s="1400"/>
      <c r="FQY46" s="1401"/>
      <c r="FQZ46" s="196"/>
      <c r="FRA46" s="196"/>
      <c r="FRB46" s="196"/>
      <c r="FRC46" s="196"/>
      <c r="FRD46" s="196"/>
      <c r="FRE46" s="196"/>
      <c r="FRF46" s="647"/>
      <c r="FRG46" s="196"/>
      <c r="FRH46" s="646"/>
      <c r="FRI46" s="1400"/>
      <c r="FRJ46" s="1401"/>
      <c r="FRK46" s="196"/>
      <c r="FRL46" s="196"/>
      <c r="FRM46" s="196"/>
      <c r="FRN46" s="196"/>
      <c r="FRO46" s="196"/>
      <c r="FRP46" s="196"/>
      <c r="FRQ46" s="647"/>
      <c r="FRR46" s="196"/>
      <c r="FRS46" s="646"/>
      <c r="FRT46" s="1400"/>
      <c r="FRU46" s="1401"/>
      <c r="FRV46" s="196"/>
      <c r="FRW46" s="196"/>
      <c r="FRX46" s="196"/>
      <c r="FRY46" s="196"/>
      <c r="FRZ46" s="196"/>
      <c r="FSA46" s="196"/>
      <c r="FSB46" s="647"/>
      <c r="FSC46" s="196"/>
      <c r="FSD46" s="646"/>
      <c r="FSE46" s="1400"/>
      <c r="FSF46" s="1401"/>
      <c r="FSG46" s="196"/>
      <c r="FSH46" s="196"/>
      <c r="FSI46" s="196"/>
      <c r="FSJ46" s="196"/>
      <c r="FSK46" s="196"/>
      <c r="FSL46" s="196"/>
      <c r="FSM46" s="647"/>
      <c r="FSN46" s="196"/>
      <c r="FSO46" s="646"/>
      <c r="FSP46" s="1400"/>
      <c r="FSQ46" s="1401"/>
      <c r="FSR46" s="196"/>
      <c r="FSS46" s="196"/>
      <c r="FST46" s="196"/>
      <c r="FSU46" s="196"/>
      <c r="FSV46" s="196"/>
      <c r="FSW46" s="196"/>
      <c r="FSX46" s="647"/>
      <c r="FSY46" s="196"/>
      <c r="FSZ46" s="646"/>
      <c r="FTA46" s="1400"/>
      <c r="FTB46" s="1401"/>
      <c r="FTC46" s="196"/>
      <c r="FTD46" s="196"/>
      <c r="FTE46" s="196"/>
      <c r="FTF46" s="196"/>
      <c r="FTG46" s="196"/>
      <c r="FTH46" s="196"/>
      <c r="FTI46" s="647"/>
      <c r="FTJ46" s="196"/>
      <c r="FTK46" s="646"/>
      <c r="FTL46" s="1400"/>
      <c r="FTM46" s="1401"/>
      <c r="FTN46" s="196"/>
      <c r="FTO46" s="196"/>
      <c r="FTP46" s="196"/>
      <c r="FTQ46" s="196"/>
      <c r="FTR46" s="196"/>
      <c r="FTS46" s="196"/>
      <c r="FTT46" s="647"/>
      <c r="FTU46" s="196"/>
      <c r="FTV46" s="646"/>
      <c r="FTW46" s="1400"/>
      <c r="FTX46" s="1401"/>
      <c r="FTY46" s="196"/>
      <c r="FTZ46" s="196"/>
      <c r="FUA46" s="196"/>
      <c r="FUB46" s="196"/>
      <c r="FUC46" s="196"/>
      <c r="FUD46" s="196"/>
      <c r="FUE46" s="647"/>
      <c r="FUF46" s="196"/>
      <c r="FUG46" s="646"/>
      <c r="FUH46" s="1400"/>
      <c r="FUI46" s="1401"/>
      <c r="FUJ46" s="196"/>
      <c r="FUK46" s="196"/>
      <c r="FUL46" s="196"/>
      <c r="FUM46" s="196"/>
      <c r="FUN46" s="196"/>
      <c r="FUO46" s="196"/>
      <c r="FUP46" s="647"/>
      <c r="FUQ46" s="196"/>
      <c r="FUR46" s="646"/>
      <c r="FUS46" s="1400"/>
      <c r="FUT46" s="1401"/>
      <c r="FUU46" s="196"/>
      <c r="FUV46" s="196"/>
      <c r="FUW46" s="196"/>
      <c r="FUX46" s="196"/>
      <c r="FUY46" s="196"/>
      <c r="FUZ46" s="196"/>
      <c r="FVA46" s="647"/>
      <c r="FVB46" s="196"/>
      <c r="FVC46" s="646"/>
      <c r="FVD46" s="1400"/>
      <c r="FVE46" s="1401"/>
      <c r="FVF46" s="196"/>
      <c r="FVG46" s="196"/>
      <c r="FVH46" s="196"/>
      <c r="FVI46" s="196"/>
      <c r="FVJ46" s="196"/>
      <c r="FVK46" s="196"/>
      <c r="FVL46" s="647"/>
      <c r="FVM46" s="196"/>
      <c r="FVN46" s="646"/>
      <c r="FVO46" s="1400"/>
      <c r="FVP46" s="1401"/>
      <c r="FVQ46" s="196"/>
      <c r="FVR46" s="196"/>
      <c r="FVS46" s="196"/>
      <c r="FVT46" s="196"/>
      <c r="FVU46" s="196"/>
      <c r="FVV46" s="196"/>
      <c r="FVW46" s="647"/>
      <c r="FVX46" s="196"/>
      <c r="FVY46" s="646"/>
      <c r="FVZ46" s="1400"/>
      <c r="FWA46" s="1401"/>
      <c r="FWB46" s="196"/>
      <c r="FWC46" s="196"/>
      <c r="FWD46" s="196"/>
      <c r="FWE46" s="196"/>
      <c r="FWF46" s="196"/>
      <c r="FWG46" s="196"/>
      <c r="FWH46" s="647"/>
      <c r="FWI46" s="196"/>
      <c r="FWJ46" s="646"/>
      <c r="FWK46" s="1400"/>
      <c r="FWL46" s="1401"/>
      <c r="FWM46" s="196"/>
      <c r="FWN46" s="196"/>
      <c r="FWO46" s="196"/>
      <c r="FWP46" s="196"/>
      <c r="FWQ46" s="196"/>
      <c r="FWR46" s="196"/>
      <c r="FWS46" s="647"/>
      <c r="FWT46" s="196"/>
      <c r="FWU46" s="646"/>
      <c r="FWV46" s="1400"/>
      <c r="FWW46" s="1401"/>
      <c r="FWX46" s="196"/>
      <c r="FWY46" s="196"/>
      <c r="FWZ46" s="196"/>
      <c r="FXA46" s="196"/>
      <c r="FXB46" s="196"/>
      <c r="FXC46" s="196"/>
      <c r="FXD46" s="647"/>
      <c r="FXE46" s="196"/>
      <c r="FXF46" s="646"/>
      <c r="FXG46" s="1400"/>
      <c r="FXH46" s="1401"/>
      <c r="FXI46" s="196"/>
      <c r="FXJ46" s="196"/>
      <c r="FXK46" s="196"/>
      <c r="FXL46" s="196"/>
      <c r="FXM46" s="196"/>
      <c r="FXN46" s="196"/>
      <c r="FXO46" s="647"/>
      <c r="FXP46" s="196"/>
      <c r="FXQ46" s="646"/>
      <c r="FXR46" s="1400"/>
      <c r="FXS46" s="1401"/>
      <c r="FXT46" s="196"/>
      <c r="FXU46" s="196"/>
      <c r="FXV46" s="196"/>
      <c r="FXW46" s="196"/>
      <c r="FXX46" s="196"/>
      <c r="FXY46" s="196"/>
      <c r="FXZ46" s="647"/>
      <c r="FYA46" s="196"/>
      <c r="FYB46" s="646"/>
      <c r="FYC46" s="1400"/>
      <c r="FYD46" s="1401"/>
      <c r="FYE46" s="196"/>
      <c r="FYF46" s="196"/>
      <c r="FYG46" s="196"/>
      <c r="FYH46" s="196"/>
      <c r="FYI46" s="196"/>
      <c r="FYJ46" s="196"/>
      <c r="FYK46" s="647"/>
      <c r="FYL46" s="196"/>
      <c r="FYM46" s="646"/>
      <c r="FYN46" s="1400"/>
      <c r="FYO46" s="1401"/>
      <c r="FYP46" s="196"/>
      <c r="FYQ46" s="196"/>
      <c r="FYR46" s="196"/>
      <c r="FYS46" s="196"/>
      <c r="FYT46" s="196"/>
      <c r="FYU46" s="196"/>
      <c r="FYV46" s="647"/>
      <c r="FYW46" s="196"/>
      <c r="FYX46" s="646"/>
      <c r="FYY46" s="1400"/>
      <c r="FYZ46" s="1401"/>
      <c r="FZA46" s="196"/>
      <c r="FZB46" s="196"/>
      <c r="FZC46" s="196"/>
      <c r="FZD46" s="196"/>
      <c r="FZE46" s="196"/>
      <c r="FZF46" s="196"/>
      <c r="FZG46" s="647"/>
      <c r="FZH46" s="196"/>
      <c r="FZI46" s="646"/>
      <c r="FZJ46" s="1400"/>
      <c r="FZK46" s="1401"/>
      <c r="FZL46" s="196"/>
      <c r="FZM46" s="196"/>
      <c r="FZN46" s="196"/>
      <c r="FZO46" s="196"/>
      <c r="FZP46" s="196"/>
      <c r="FZQ46" s="196"/>
      <c r="FZR46" s="647"/>
      <c r="FZS46" s="196"/>
      <c r="FZT46" s="646"/>
      <c r="FZU46" s="1400"/>
      <c r="FZV46" s="1401"/>
      <c r="FZW46" s="196"/>
      <c r="FZX46" s="196"/>
      <c r="FZY46" s="196"/>
      <c r="FZZ46" s="196"/>
      <c r="GAA46" s="196"/>
      <c r="GAB46" s="196"/>
      <c r="GAC46" s="647"/>
      <c r="GAD46" s="196"/>
      <c r="GAE46" s="646"/>
      <c r="GAF46" s="1400"/>
      <c r="GAG46" s="1401"/>
      <c r="GAH46" s="196"/>
      <c r="GAI46" s="196"/>
      <c r="GAJ46" s="196"/>
      <c r="GAK46" s="196"/>
      <c r="GAL46" s="196"/>
      <c r="GAM46" s="196"/>
      <c r="GAN46" s="647"/>
      <c r="GAO46" s="196"/>
      <c r="GAP46" s="646"/>
      <c r="GAQ46" s="1400"/>
      <c r="GAR46" s="1401"/>
      <c r="GAS46" s="196"/>
      <c r="GAT46" s="196"/>
      <c r="GAU46" s="196"/>
      <c r="GAV46" s="196"/>
      <c r="GAW46" s="196"/>
      <c r="GAX46" s="196"/>
      <c r="GAY46" s="647"/>
      <c r="GAZ46" s="196"/>
      <c r="GBA46" s="646"/>
      <c r="GBB46" s="1400"/>
      <c r="GBC46" s="1401"/>
      <c r="GBD46" s="196"/>
      <c r="GBE46" s="196"/>
      <c r="GBF46" s="196"/>
      <c r="GBG46" s="196"/>
      <c r="GBH46" s="196"/>
      <c r="GBI46" s="196"/>
      <c r="GBJ46" s="647"/>
      <c r="GBK46" s="196"/>
      <c r="GBL46" s="646"/>
      <c r="GBM46" s="1400"/>
      <c r="GBN46" s="1401"/>
      <c r="GBO46" s="196"/>
      <c r="GBP46" s="196"/>
      <c r="GBQ46" s="196"/>
      <c r="GBR46" s="196"/>
      <c r="GBS46" s="196"/>
      <c r="GBT46" s="196"/>
      <c r="GBU46" s="647"/>
      <c r="GBV46" s="196"/>
      <c r="GBW46" s="646"/>
      <c r="GBX46" s="1400"/>
      <c r="GBY46" s="1401"/>
      <c r="GBZ46" s="196"/>
      <c r="GCA46" s="196"/>
      <c r="GCB46" s="196"/>
      <c r="GCC46" s="196"/>
      <c r="GCD46" s="196"/>
      <c r="GCE46" s="196"/>
      <c r="GCF46" s="647"/>
      <c r="GCG46" s="196"/>
      <c r="GCH46" s="646"/>
      <c r="GCI46" s="1400"/>
      <c r="GCJ46" s="1401"/>
      <c r="GCK46" s="196"/>
      <c r="GCL46" s="196"/>
      <c r="GCM46" s="196"/>
      <c r="GCN46" s="196"/>
      <c r="GCO46" s="196"/>
      <c r="GCP46" s="196"/>
      <c r="GCQ46" s="647"/>
      <c r="GCR46" s="196"/>
      <c r="GCS46" s="646"/>
      <c r="GCT46" s="1400"/>
      <c r="GCU46" s="1401"/>
      <c r="GCV46" s="196"/>
      <c r="GCW46" s="196"/>
      <c r="GCX46" s="196"/>
      <c r="GCY46" s="196"/>
      <c r="GCZ46" s="196"/>
      <c r="GDA46" s="196"/>
      <c r="GDB46" s="647"/>
      <c r="GDC46" s="196"/>
      <c r="GDD46" s="646"/>
      <c r="GDE46" s="1400"/>
      <c r="GDF46" s="1401"/>
      <c r="GDG46" s="196"/>
      <c r="GDH46" s="196"/>
      <c r="GDI46" s="196"/>
      <c r="GDJ46" s="196"/>
      <c r="GDK46" s="196"/>
      <c r="GDL46" s="196"/>
      <c r="GDM46" s="647"/>
      <c r="GDN46" s="196"/>
      <c r="GDO46" s="646"/>
      <c r="GDP46" s="1400"/>
      <c r="GDQ46" s="1401"/>
      <c r="GDR46" s="196"/>
      <c r="GDS46" s="196"/>
      <c r="GDT46" s="196"/>
      <c r="GDU46" s="196"/>
      <c r="GDV46" s="196"/>
      <c r="GDW46" s="196"/>
      <c r="GDX46" s="647"/>
      <c r="GDY46" s="196"/>
      <c r="GDZ46" s="646"/>
      <c r="GEA46" s="1400"/>
      <c r="GEB46" s="1401"/>
      <c r="GEC46" s="196"/>
      <c r="GED46" s="196"/>
      <c r="GEE46" s="196"/>
      <c r="GEF46" s="196"/>
      <c r="GEG46" s="196"/>
      <c r="GEH46" s="196"/>
      <c r="GEI46" s="647"/>
      <c r="GEJ46" s="196"/>
      <c r="GEK46" s="646"/>
      <c r="GEL46" s="1400"/>
      <c r="GEM46" s="1401"/>
      <c r="GEN46" s="196"/>
      <c r="GEO46" s="196"/>
      <c r="GEP46" s="196"/>
      <c r="GEQ46" s="196"/>
      <c r="GER46" s="196"/>
      <c r="GES46" s="196"/>
      <c r="GET46" s="647"/>
      <c r="GEU46" s="196"/>
      <c r="GEV46" s="646"/>
      <c r="GEW46" s="1400"/>
      <c r="GEX46" s="1401"/>
      <c r="GEY46" s="196"/>
      <c r="GEZ46" s="196"/>
      <c r="GFA46" s="196"/>
      <c r="GFB46" s="196"/>
      <c r="GFC46" s="196"/>
      <c r="GFD46" s="196"/>
      <c r="GFE46" s="647"/>
      <c r="GFF46" s="196"/>
      <c r="GFG46" s="646"/>
      <c r="GFH46" s="1400"/>
      <c r="GFI46" s="1401"/>
      <c r="GFJ46" s="196"/>
      <c r="GFK46" s="196"/>
      <c r="GFL46" s="196"/>
      <c r="GFM46" s="196"/>
      <c r="GFN46" s="196"/>
      <c r="GFO46" s="196"/>
      <c r="GFP46" s="647"/>
      <c r="GFQ46" s="196"/>
      <c r="GFR46" s="646"/>
      <c r="GFS46" s="1400"/>
      <c r="GFT46" s="1401"/>
      <c r="GFU46" s="196"/>
      <c r="GFV46" s="196"/>
      <c r="GFW46" s="196"/>
      <c r="GFX46" s="196"/>
      <c r="GFY46" s="196"/>
      <c r="GFZ46" s="196"/>
      <c r="GGA46" s="647"/>
      <c r="GGB46" s="196"/>
      <c r="GGC46" s="646"/>
      <c r="GGD46" s="1400"/>
      <c r="GGE46" s="1401"/>
      <c r="GGF46" s="196"/>
      <c r="GGG46" s="196"/>
      <c r="GGH46" s="196"/>
      <c r="GGI46" s="196"/>
      <c r="GGJ46" s="196"/>
      <c r="GGK46" s="196"/>
      <c r="GGL46" s="647"/>
      <c r="GGM46" s="196"/>
      <c r="GGN46" s="646"/>
      <c r="GGO46" s="1400"/>
      <c r="GGP46" s="1401"/>
      <c r="GGQ46" s="196"/>
      <c r="GGR46" s="196"/>
      <c r="GGS46" s="196"/>
      <c r="GGT46" s="196"/>
      <c r="GGU46" s="196"/>
      <c r="GGV46" s="196"/>
      <c r="GGW46" s="647"/>
      <c r="GGX46" s="196"/>
      <c r="GGY46" s="646"/>
      <c r="GGZ46" s="1400"/>
      <c r="GHA46" s="1401"/>
      <c r="GHB46" s="196"/>
      <c r="GHC46" s="196"/>
      <c r="GHD46" s="196"/>
      <c r="GHE46" s="196"/>
      <c r="GHF46" s="196"/>
      <c r="GHG46" s="196"/>
      <c r="GHH46" s="647"/>
      <c r="GHI46" s="196"/>
      <c r="GHJ46" s="646"/>
      <c r="GHK46" s="1400"/>
      <c r="GHL46" s="1401"/>
      <c r="GHM46" s="196"/>
      <c r="GHN46" s="196"/>
      <c r="GHO46" s="196"/>
      <c r="GHP46" s="196"/>
      <c r="GHQ46" s="196"/>
      <c r="GHR46" s="196"/>
      <c r="GHS46" s="647"/>
      <c r="GHT46" s="196"/>
      <c r="GHU46" s="646"/>
      <c r="GHV46" s="1400"/>
      <c r="GHW46" s="1401"/>
      <c r="GHX46" s="196"/>
      <c r="GHY46" s="196"/>
      <c r="GHZ46" s="196"/>
      <c r="GIA46" s="196"/>
      <c r="GIB46" s="196"/>
      <c r="GIC46" s="196"/>
      <c r="GID46" s="647"/>
      <c r="GIE46" s="196"/>
      <c r="GIF46" s="646"/>
      <c r="GIG46" s="1400"/>
      <c r="GIH46" s="1401"/>
      <c r="GII46" s="196"/>
      <c r="GIJ46" s="196"/>
      <c r="GIK46" s="196"/>
      <c r="GIL46" s="196"/>
      <c r="GIM46" s="196"/>
      <c r="GIN46" s="196"/>
      <c r="GIO46" s="647"/>
      <c r="GIP46" s="196"/>
      <c r="GIQ46" s="646"/>
      <c r="GIR46" s="1400"/>
      <c r="GIS46" s="1401"/>
      <c r="GIT46" s="196"/>
      <c r="GIU46" s="196"/>
      <c r="GIV46" s="196"/>
      <c r="GIW46" s="196"/>
      <c r="GIX46" s="196"/>
      <c r="GIY46" s="196"/>
      <c r="GIZ46" s="647"/>
      <c r="GJA46" s="196"/>
      <c r="GJB46" s="646"/>
      <c r="GJC46" s="1400"/>
      <c r="GJD46" s="1401"/>
      <c r="GJE46" s="196"/>
      <c r="GJF46" s="196"/>
      <c r="GJG46" s="196"/>
      <c r="GJH46" s="196"/>
      <c r="GJI46" s="196"/>
      <c r="GJJ46" s="196"/>
      <c r="GJK46" s="647"/>
      <c r="GJL46" s="196"/>
      <c r="GJM46" s="646"/>
      <c r="GJN46" s="1400"/>
      <c r="GJO46" s="1401"/>
      <c r="GJP46" s="196"/>
      <c r="GJQ46" s="196"/>
      <c r="GJR46" s="196"/>
      <c r="GJS46" s="196"/>
      <c r="GJT46" s="196"/>
      <c r="GJU46" s="196"/>
      <c r="GJV46" s="647"/>
      <c r="GJW46" s="196"/>
      <c r="GJX46" s="646"/>
      <c r="GJY46" s="1400"/>
      <c r="GJZ46" s="1401"/>
      <c r="GKA46" s="196"/>
      <c r="GKB46" s="196"/>
      <c r="GKC46" s="196"/>
      <c r="GKD46" s="196"/>
      <c r="GKE46" s="196"/>
      <c r="GKF46" s="196"/>
      <c r="GKG46" s="647"/>
      <c r="GKH46" s="196"/>
      <c r="GKI46" s="646"/>
      <c r="GKJ46" s="1400"/>
      <c r="GKK46" s="1401"/>
      <c r="GKL46" s="196"/>
      <c r="GKM46" s="196"/>
      <c r="GKN46" s="196"/>
      <c r="GKO46" s="196"/>
      <c r="GKP46" s="196"/>
      <c r="GKQ46" s="196"/>
      <c r="GKR46" s="647"/>
      <c r="GKS46" s="196"/>
      <c r="GKT46" s="646"/>
      <c r="GKU46" s="1400"/>
      <c r="GKV46" s="1401"/>
      <c r="GKW46" s="196"/>
      <c r="GKX46" s="196"/>
      <c r="GKY46" s="196"/>
      <c r="GKZ46" s="196"/>
      <c r="GLA46" s="196"/>
      <c r="GLB46" s="196"/>
      <c r="GLC46" s="647"/>
      <c r="GLD46" s="196"/>
      <c r="GLE46" s="646"/>
      <c r="GLF46" s="1400"/>
      <c r="GLG46" s="1401"/>
      <c r="GLH46" s="196"/>
      <c r="GLI46" s="196"/>
      <c r="GLJ46" s="196"/>
      <c r="GLK46" s="196"/>
      <c r="GLL46" s="196"/>
      <c r="GLM46" s="196"/>
      <c r="GLN46" s="647"/>
      <c r="GLO46" s="196"/>
      <c r="GLP46" s="646"/>
      <c r="GLQ46" s="1400"/>
      <c r="GLR46" s="1401"/>
      <c r="GLS46" s="196"/>
      <c r="GLT46" s="196"/>
      <c r="GLU46" s="196"/>
      <c r="GLV46" s="196"/>
      <c r="GLW46" s="196"/>
      <c r="GLX46" s="196"/>
      <c r="GLY46" s="647"/>
      <c r="GLZ46" s="196"/>
      <c r="GMA46" s="646"/>
      <c r="GMB46" s="1400"/>
      <c r="GMC46" s="1401"/>
      <c r="GMD46" s="196"/>
      <c r="GME46" s="196"/>
      <c r="GMF46" s="196"/>
      <c r="GMG46" s="196"/>
      <c r="GMH46" s="196"/>
      <c r="GMI46" s="196"/>
      <c r="GMJ46" s="647"/>
      <c r="GMK46" s="196"/>
      <c r="GML46" s="646"/>
      <c r="GMM46" s="1400"/>
      <c r="GMN46" s="1401"/>
      <c r="GMO46" s="196"/>
      <c r="GMP46" s="196"/>
      <c r="GMQ46" s="196"/>
      <c r="GMR46" s="196"/>
      <c r="GMS46" s="196"/>
      <c r="GMT46" s="196"/>
      <c r="GMU46" s="647"/>
      <c r="GMV46" s="196"/>
      <c r="GMW46" s="646"/>
      <c r="GMX46" s="1400"/>
      <c r="GMY46" s="1401"/>
      <c r="GMZ46" s="196"/>
      <c r="GNA46" s="196"/>
      <c r="GNB46" s="196"/>
      <c r="GNC46" s="196"/>
      <c r="GND46" s="196"/>
      <c r="GNE46" s="196"/>
      <c r="GNF46" s="647"/>
      <c r="GNG46" s="196"/>
      <c r="GNH46" s="646"/>
      <c r="GNI46" s="1400"/>
      <c r="GNJ46" s="1401"/>
      <c r="GNK46" s="196"/>
      <c r="GNL46" s="196"/>
      <c r="GNM46" s="196"/>
      <c r="GNN46" s="196"/>
      <c r="GNO46" s="196"/>
      <c r="GNP46" s="196"/>
      <c r="GNQ46" s="647"/>
      <c r="GNR46" s="196"/>
      <c r="GNS46" s="646"/>
      <c r="GNT46" s="1400"/>
      <c r="GNU46" s="1401"/>
      <c r="GNV46" s="196"/>
      <c r="GNW46" s="196"/>
      <c r="GNX46" s="196"/>
      <c r="GNY46" s="196"/>
      <c r="GNZ46" s="196"/>
      <c r="GOA46" s="196"/>
      <c r="GOB46" s="647"/>
      <c r="GOC46" s="196"/>
      <c r="GOD46" s="646"/>
      <c r="GOE46" s="1400"/>
      <c r="GOF46" s="1401"/>
      <c r="GOG46" s="196"/>
      <c r="GOH46" s="196"/>
      <c r="GOI46" s="196"/>
      <c r="GOJ46" s="196"/>
      <c r="GOK46" s="196"/>
      <c r="GOL46" s="196"/>
      <c r="GOM46" s="647"/>
      <c r="GON46" s="196"/>
      <c r="GOO46" s="646"/>
      <c r="GOP46" s="1400"/>
      <c r="GOQ46" s="1401"/>
      <c r="GOR46" s="196"/>
      <c r="GOS46" s="196"/>
      <c r="GOT46" s="196"/>
      <c r="GOU46" s="196"/>
      <c r="GOV46" s="196"/>
      <c r="GOW46" s="196"/>
      <c r="GOX46" s="647"/>
      <c r="GOY46" s="196"/>
      <c r="GOZ46" s="646"/>
      <c r="GPA46" s="1400"/>
      <c r="GPB46" s="1401"/>
      <c r="GPC46" s="196"/>
      <c r="GPD46" s="196"/>
      <c r="GPE46" s="196"/>
      <c r="GPF46" s="196"/>
      <c r="GPG46" s="196"/>
      <c r="GPH46" s="196"/>
      <c r="GPI46" s="647"/>
      <c r="GPJ46" s="196"/>
      <c r="GPK46" s="646"/>
      <c r="GPL46" s="1400"/>
      <c r="GPM46" s="1401"/>
      <c r="GPN46" s="196"/>
      <c r="GPO46" s="196"/>
      <c r="GPP46" s="196"/>
      <c r="GPQ46" s="196"/>
      <c r="GPR46" s="196"/>
      <c r="GPS46" s="196"/>
      <c r="GPT46" s="647"/>
      <c r="GPU46" s="196"/>
      <c r="GPV46" s="646"/>
      <c r="GPW46" s="1400"/>
      <c r="GPX46" s="1401"/>
      <c r="GPY46" s="196"/>
      <c r="GPZ46" s="196"/>
      <c r="GQA46" s="196"/>
      <c r="GQB46" s="196"/>
      <c r="GQC46" s="196"/>
      <c r="GQD46" s="196"/>
      <c r="GQE46" s="647"/>
      <c r="GQF46" s="196"/>
      <c r="GQG46" s="646"/>
      <c r="GQH46" s="1400"/>
      <c r="GQI46" s="1401"/>
      <c r="GQJ46" s="196"/>
      <c r="GQK46" s="196"/>
      <c r="GQL46" s="196"/>
      <c r="GQM46" s="196"/>
      <c r="GQN46" s="196"/>
      <c r="GQO46" s="196"/>
      <c r="GQP46" s="647"/>
      <c r="GQQ46" s="196"/>
      <c r="GQR46" s="646"/>
      <c r="GQS46" s="1400"/>
      <c r="GQT46" s="1401"/>
      <c r="GQU46" s="196"/>
      <c r="GQV46" s="196"/>
      <c r="GQW46" s="196"/>
      <c r="GQX46" s="196"/>
      <c r="GQY46" s="196"/>
      <c r="GQZ46" s="196"/>
      <c r="GRA46" s="647"/>
      <c r="GRB46" s="196"/>
      <c r="GRC46" s="646"/>
      <c r="GRD46" s="1400"/>
      <c r="GRE46" s="1401"/>
      <c r="GRF46" s="196"/>
      <c r="GRG46" s="196"/>
      <c r="GRH46" s="196"/>
      <c r="GRI46" s="196"/>
      <c r="GRJ46" s="196"/>
      <c r="GRK46" s="196"/>
      <c r="GRL46" s="647"/>
      <c r="GRM46" s="196"/>
      <c r="GRN46" s="646"/>
      <c r="GRO46" s="1400"/>
      <c r="GRP46" s="1401"/>
      <c r="GRQ46" s="196"/>
      <c r="GRR46" s="196"/>
      <c r="GRS46" s="196"/>
      <c r="GRT46" s="196"/>
      <c r="GRU46" s="196"/>
      <c r="GRV46" s="196"/>
      <c r="GRW46" s="647"/>
      <c r="GRX46" s="196"/>
      <c r="GRY46" s="646"/>
      <c r="GRZ46" s="1400"/>
      <c r="GSA46" s="1401"/>
      <c r="GSB46" s="196"/>
      <c r="GSC46" s="196"/>
      <c r="GSD46" s="196"/>
      <c r="GSE46" s="196"/>
      <c r="GSF46" s="196"/>
      <c r="GSG46" s="196"/>
      <c r="GSH46" s="647"/>
      <c r="GSI46" s="196"/>
      <c r="GSJ46" s="646"/>
      <c r="GSK46" s="1400"/>
      <c r="GSL46" s="1401"/>
      <c r="GSM46" s="196"/>
      <c r="GSN46" s="196"/>
      <c r="GSO46" s="196"/>
      <c r="GSP46" s="196"/>
      <c r="GSQ46" s="196"/>
      <c r="GSR46" s="196"/>
      <c r="GSS46" s="647"/>
      <c r="GST46" s="196"/>
      <c r="GSU46" s="646"/>
      <c r="GSV46" s="1400"/>
      <c r="GSW46" s="1401"/>
      <c r="GSX46" s="196"/>
      <c r="GSY46" s="196"/>
      <c r="GSZ46" s="196"/>
      <c r="GTA46" s="196"/>
      <c r="GTB46" s="196"/>
      <c r="GTC46" s="196"/>
      <c r="GTD46" s="647"/>
      <c r="GTE46" s="196"/>
      <c r="GTF46" s="646"/>
      <c r="GTG46" s="1400"/>
      <c r="GTH46" s="1401"/>
      <c r="GTI46" s="196"/>
      <c r="GTJ46" s="196"/>
      <c r="GTK46" s="196"/>
      <c r="GTL46" s="196"/>
      <c r="GTM46" s="196"/>
      <c r="GTN46" s="196"/>
      <c r="GTO46" s="647"/>
      <c r="GTP46" s="196"/>
      <c r="GTQ46" s="646"/>
      <c r="GTR46" s="1400"/>
      <c r="GTS46" s="1401"/>
      <c r="GTT46" s="196"/>
      <c r="GTU46" s="196"/>
      <c r="GTV46" s="196"/>
      <c r="GTW46" s="196"/>
      <c r="GTX46" s="196"/>
      <c r="GTY46" s="196"/>
      <c r="GTZ46" s="647"/>
      <c r="GUA46" s="196"/>
      <c r="GUB46" s="646"/>
      <c r="GUC46" s="1400"/>
      <c r="GUD46" s="1401"/>
      <c r="GUE46" s="196"/>
      <c r="GUF46" s="196"/>
      <c r="GUG46" s="196"/>
      <c r="GUH46" s="196"/>
      <c r="GUI46" s="196"/>
      <c r="GUJ46" s="196"/>
      <c r="GUK46" s="647"/>
      <c r="GUL46" s="196"/>
      <c r="GUM46" s="646"/>
      <c r="GUN46" s="1400"/>
      <c r="GUO46" s="1401"/>
      <c r="GUP46" s="196"/>
      <c r="GUQ46" s="196"/>
      <c r="GUR46" s="196"/>
      <c r="GUS46" s="196"/>
      <c r="GUT46" s="196"/>
      <c r="GUU46" s="196"/>
      <c r="GUV46" s="647"/>
      <c r="GUW46" s="196"/>
      <c r="GUX46" s="646"/>
      <c r="GUY46" s="1400"/>
      <c r="GUZ46" s="1401"/>
      <c r="GVA46" s="196"/>
      <c r="GVB46" s="196"/>
      <c r="GVC46" s="196"/>
      <c r="GVD46" s="196"/>
      <c r="GVE46" s="196"/>
      <c r="GVF46" s="196"/>
      <c r="GVG46" s="647"/>
      <c r="GVH46" s="196"/>
      <c r="GVI46" s="646"/>
      <c r="GVJ46" s="1400"/>
      <c r="GVK46" s="1401"/>
      <c r="GVL46" s="196"/>
      <c r="GVM46" s="196"/>
      <c r="GVN46" s="196"/>
      <c r="GVO46" s="196"/>
      <c r="GVP46" s="196"/>
      <c r="GVQ46" s="196"/>
      <c r="GVR46" s="647"/>
      <c r="GVS46" s="196"/>
      <c r="GVT46" s="646"/>
      <c r="GVU46" s="1400"/>
      <c r="GVV46" s="1401"/>
      <c r="GVW46" s="196"/>
      <c r="GVX46" s="196"/>
      <c r="GVY46" s="196"/>
      <c r="GVZ46" s="196"/>
      <c r="GWA46" s="196"/>
      <c r="GWB46" s="196"/>
      <c r="GWC46" s="647"/>
      <c r="GWD46" s="196"/>
      <c r="GWE46" s="646"/>
      <c r="GWF46" s="1400"/>
      <c r="GWG46" s="1401"/>
      <c r="GWH46" s="196"/>
      <c r="GWI46" s="196"/>
      <c r="GWJ46" s="196"/>
      <c r="GWK46" s="196"/>
      <c r="GWL46" s="196"/>
      <c r="GWM46" s="196"/>
      <c r="GWN46" s="647"/>
      <c r="GWO46" s="196"/>
      <c r="GWP46" s="646"/>
      <c r="GWQ46" s="1400"/>
      <c r="GWR46" s="1401"/>
      <c r="GWS46" s="196"/>
      <c r="GWT46" s="196"/>
      <c r="GWU46" s="196"/>
      <c r="GWV46" s="196"/>
      <c r="GWW46" s="196"/>
      <c r="GWX46" s="196"/>
      <c r="GWY46" s="647"/>
      <c r="GWZ46" s="196"/>
      <c r="GXA46" s="646"/>
      <c r="GXB46" s="1400"/>
      <c r="GXC46" s="1401"/>
      <c r="GXD46" s="196"/>
      <c r="GXE46" s="196"/>
      <c r="GXF46" s="196"/>
      <c r="GXG46" s="196"/>
      <c r="GXH46" s="196"/>
      <c r="GXI46" s="196"/>
      <c r="GXJ46" s="647"/>
      <c r="GXK46" s="196"/>
      <c r="GXL46" s="646"/>
      <c r="GXM46" s="1400"/>
      <c r="GXN46" s="1401"/>
      <c r="GXO46" s="196"/>
      <c r="GXP46" s="196"/>
      <c r="GXQ46" s="196"/>
      <c r="GXR46" s="196"/>
      <c r="GXS46" s="196"/>
      <c r="GXT46" s="196"/>
      <c r="GXU46" s="647"/>
      <c r="GXV46" s="196"/>
      <c r="GXW46" s="646"/>
      <c r="GXX46" s="1400"/>
      <c r="GXY46" s="1401"/>
      <c r="GXZ46" s="196"/>
      <c r="GYA46" s="196"/>
      <c r="GYB46" s="196"/>
      <c r="GYC46" s="196"/>
      <c r="GYD46" s="196"/>
      <c r="GYE46" s="196"/>
      <c r="GYF46" s="647"/>
      <c r="GYG46" s="196"/>
      <c r="GYH46" s="646"/>
      <c r="GYI46" s="1400"/>
      <c r="GYJ46" s="1401"/>
      <c r="GYK46" s="196"/>
      <c r="GYL46" s="196"/>
      <c r="GYM46" s="196"/>
      <c r="GYN46" s="196"/>
      <c r="GYO46" s="196"/>
      <c r="GYP46" s="196"/>
      <c r="GYQ46" s="647"/>
      <c r="GYR46" s="196"/>
      <c r="GYS46" s="646"/>
      <c r="GYT46" s="1400"/>
      <c r="GYU46" s="1401"/>
      <c r="GYV46" s="196"/>
      <c r="GYW46" s="196"/>
      <c r="GYX46" s="196"/>
      <c r="GYY46" s="196"/>
      <c r="GYZ46" s="196"/>
      <c r="GZA46" s="196"/>
      <c r="GZB46" s="647"/>
      <c r="GZC46" s="196"/>
      <c r="GZD46" s="646"/>
      <c r="GZE46" s="1400"/>
      <c r="GZF46" s="1401"/>
      <c r="GZG46" s="196"/>
      <c r="GZH46" s="196"/>
      <c r="GZI46" s="196"/>
      <c r="GZJ46" s="196"/>
      <c r="GZK46" s="196"/>
      <c r="GZL46" s="196"/>
      <c r="GZM46" s="647"/>
      <c r="GZN46" s="196"/>
      <c r="GZO46" s="646"/>
      <c r="GZP46" s="1400"/>
      <c r="GZQ46" s="1401"/>
      <c r="GZR46" s="196"/>
      <c r="GZS46" s="196"/>
      <c r="GZT46" s="196"/>
      <c r="GZU46" s="196"/>
      <c r="GZV46" s="196"/>
      <c r="GZW46" s="196"/>
      <c r="GZX46" s="647"/>
      <c r="GZY46" s="196"/>
      <c r="GZZ46" s="646"/>
      <c r="HAA46" s="1400"/>
      <c r="HAB46" s="1401"/>
      <c r="HAC46" s="196"/>
      <c r="HAD46" s="196"/>
      <c r="HAE46" s="196"/>
      <c r="HAF46" s="196"/>
      <c r="HAG46" s="196"/>
      <c r="HAH46" s="196"/>
      <c r="HAI46" s="647"/>
      <c r="HAJ46" s="196"/>
      <c r="HAK46" s="646"/>
      <c r="HAL46" s="1400"/>
      <c r="HAM46" s="1401"/>
      <c r="HAN46" s="196"/>
      <c r="HAO46" s="196"/>
      <c r="HAP46" s="196"/>
      <c r="HAQ46" s="196"/>
      <c r="HAR46" s="196"/>
      <c r="HAS46" s="196"/>
      <c r="HAT46" s="647"/>
      <c r="HAU46" s="196"/>
      <c r="HAV46" s="646"/>
      <c r="HAW46" s="1400"/>
      <c r="HAX46" s="1401"/>
      <c r="HAY46" s="196"/>
      <c r="HAZ46" s="196"/>
      <c r="HBA46" s="196"/>
      <c r="HBB46" s="196"/>
      <c r="HBC46" s="196"/>
      <c r="HBD46" s="196"/>
      <c r="HBE46" s="647"/>
      <c r="HBF46" s="196"/>
      <c r="HBG46" s="646"/>
      <c r="HBH46" s="1400"/>
      <c r="HBI46" s="1401"/>
      <c r="HBJ46" s="196"/>
      <c r="HBK46" s="196"/>
      <c r="HBL46" s="196"/>
      <c r="HBM46" s="196"/>
      <c r="HBN46" s="196"/>
      <c r="HBO46" s="196"/>
      <c r="HBP46" s="647"/>
      <c r="HBQ46" s="196"/>
      <c r="HBR46" s="646"/>
      <c r="HBS46" s="1400"/>
      <c r="HBT46" s="1401"/>
      <c r="HBU46" s="196"/>
      <c r="HBV46" s="196"/>
      <c r="HBW46" s="196"/>
      <c r="HBX46" s="196"/>
      <c r="HBY46" s="196"/>
      <c r="HBZ46" s="196"/>
      <c r="HCA46" s="647"/>
      <c r="HCB46" s="196"/>
      <c r="HCC46" s="646"/>
      <c r="HCD46" s="1400"/>
      <c r="HCE46" s="1401"/>
      <c r="HCF46" s="196"/>
      <c r="HCG46" s="196"/>
      <c r="HCH46" s="196"/>
      <c r="HCI46" s="196"/>
      <c r="HCJ46" s="196"/>
      <c r="HCK46" s="196"/>
      <c r="HCL46" s="647"/>
      <c r="HCM46" s="196"/>
      <c r="HCN46" s="646"/>
      <c r="HCO46" s="1400"/>
      <c r="HCP46" s="1401"/>
      <c r="HCQ46" s="196"/>
      <c r="HCR46" s="196"/>
      <c r="HCS46" s="196"/>
      <c r="HCT46" s="196"/>
      <c r="HCU46" s="196"/>
      <c r="HCV46" s="196"/>
      <c r="HCW46" s="647"/>
      <c r="HCX46" s="196"/>
      <c r="HCY46" s="646"/>
      <c r="HCZ46" s="1400"/>
      <c r="HDA46" s="1401"/>
      <c r="HDB46" s="196"/>
      <c r="HDC46" s="196"/>
      <c r="HDD46" s="196"/>
      <c r="HDE46" s="196"/>
      <c r="HDF46" s="196"/>
      <c r="HDG46" s="196"/>
      <c r="HDH46" s="647"/>
      <c r="HDI46" s="196"/>
      <c r="HDJ46" s="646"/>
      <c r="HDK46" s="1400"/>
      <c r="HDL46" s="1401"/>
      <c r="HDM46" s="196"/>
      <c r="HDN46" s="196"/>
      <c r="HDO46" s="196"/>
      <c r="HDP46" s="196"/>
      <c r="HDQ46" s="196"/>
      <c r="HDR46" s="196"/>
      <c r="HDS46" s="647"/>
      <c r="HDT46" s="196"/>
      <c r="HDU46" s="646"/>
      <c r="HDV46" s="1400"/>
      <c r="HDW46" s="1401"/>
      <c r="HDX46" s="196"/>
      <c r="HDY46" s="196"/>
      <c r="HDZ46" s="196"/>
      <c r="HEA46" s="196"/>
      <c r="HEB46" s="196"/>
      <c r="HEC46" s="196"/>
      <c r="HED46" s="647"/>
      <c r="HEE46" s="196"/>
      <c r="HEF46" s="646"/>
      <c r="HEG46" s="1400"/>
      <c r="HEH46" s="1401"/>
      <c r="HEI46" s="196"/>
      <c r="HEJ46" s="196"/>
      <c r="HEK46" s="196"/>
      <c r="HEL46" s="196"/>
      <c r="HEM46" s="196"/>
      <c r="HEN46" s="196"/>
      <c r="HEO46" s="647"/>
      <c r="HEP46" s="196"/>
      <c r="HEQ46" s="646"/>
      <c r="HER46" s="1400"/>
      <c r="HES46" s="1401"/>
      <c r="HET46" s="196"/>
      <c r="HEU46" s="196"/>
      <c r="HEV46" s="196"/>
      <c r="HEW46" s="196"/>
      <c r="HEX46" s="196"/>
      <c r="HEY46" s="196"/>
      <c r="HEZ46" s="647"/>
      <c r="HFA46" s="196"/>
      <c r="HFB46" s="646"/>
      <c r="HFC46" s="1400"/>
      <c r="HFD46" s="1401"/>
      <c r="HFE46" s="196"/>
      <c r="HFF46" s="196"/>
      <c r="HFG46" s="196"/>
      <c r="HFH46" s="196"/>
      <c r="HFI46" s="196"/>
      <c r="HFJ46" s="196"/>
      <c r="HFK46" s="647"/>
      <c r="HFL46" s="196"/>
      <c r="HFM46" s="646"/>
      <c r="HFN46" s="1400"/>
      <c r="HFO46" s="1401"/>
      <c r="HFP46" s="196"/>
      <c r="HFQ46" s="196"/>
      <c r="HFR46" s="196"/>
      <c r="HFS46" s="196"/>
      <c r="HFT46" s="196"/>
      <c r="HFU46" s="196"/>
      <c r="HFV46" s="647"/>
      <c r="HFW46" s="196"/>
      <c r="HFX46" s="646"/>
      <c r="HFY46" s="1400"/>
      <c r="HFZ46" s="1401"/>
      <c r="HGA46" s="196"/>
      <c r="HGB46" s="196"/>
      <c r="HGC46" s="196"/>
      <c r="HGD46" s="196"/>
      <c r="HGE46" s="196"/>
      <c r="HGF46" s="196"/>
      <c r="HGG46" s="647"/>
      <c r="HGH46" s="196"/>
      <c r="HGI46" s="646"/>
      <c r="HGJ46" s="1400"/>
      <c r="HGK46" s="1401"/>
      <c r="HGL46" s="196"/>
      <c r="HGM46" s="196"/>
      <c r="HGN46" s="196"/>
      <c r="HGO46" s="196"/>
      <c r="HGP46" s="196"/>
      <c r="HGQ46" s="196"/>
      <c r="HGR46" s="647"/>
      <c r="HGS46" s="196"/>
      <c r="HGT46" s="646"/>
      <c r="HGU46" s="1400"/>
      <c r="HGV46" s="1401"/>
      <c r="HGW46" s="196"/>
      <c r="HGX46" s="196"/>
      <c r="HGY46" s="196"/>
      <c r="HGZ46" s="196"/>
      <c r="HHA46" s="196"/>
      <c r="HHB46" s="196"/>
      <c r="HHC46" s="647"/>
      <c r="HHD46" s="196"/>
      <c r="HHE46" s="646"/>
      <c r="HHF46" s="1400"/>
      <c r="HHG46" s="1401"/>
      <c r="HHH46" s="196"/>
      <c r="HHI46" s="196"/>
      <c r="HHJ46" s="196"/>
      <c r="HHK46" s="196"/>
      <c r="HHL46" s="196"/>
      <c r="HHM46" s="196"/>
      <c r="HHN46" s="647"/>
      <c r="HHO46" s="196"/>
      <c r="HHP46" s="646"/>
      <c r="HHQ46" s="1400"/>
      <c r="HHR46" s="1401"/>
      <c r="HHS46" s="196"/>
      <c r="HHT46" s="196"/>
      <c r="HHU46" s="196"/>
      <c r="HHV46" s="196"/>
      <c r="HHW46" s="196"/>
      <c r="HHX46" s="196"/>
      <c r="HHY46" s="647"/>
      <c r="HHZ46" s="196"/>
      <c r="HIA46" s="646"/>
      <c r="HIB46" s="1400"/>
      <c r="HIC46" s="1401"/>
      <c r="HID46" s="196"/>
      <c r="HIE46" s="196"/>
      <c r="HIF46" s="196"/>
      <c r="HIG46" s="196"/>
      <c r="HIH46" s="196"/>
      <c r="HII46" s="196"/>
      <c r="HIJ46" s="647"/>
      <c r="HIK46" s="196"/>
      <c r="HIL46" s="646"/>
      <c r="HIM46" s="1400"/>
      <c r="HIN46" s="1401"/>
      <c r="HIO46" s="196"/>
      <c r="HIP46" s="196"/>
      <c r="HIQ46" s="196"/>
      <c r="HIR46" s="196"/>
      <c r="HIS46" s="196"/>
      <c r="HIT46" s="196"/>
      <c r="HIU46" s="647"/>
      <c r="HIV46" s="196"/>
      <c r="HIW46" s="646"/>
      <c r="HIX46" s="1400"/>
      <c r="HIY46" s="1401"/>
      <c r="HIZ46" s="196"/>
      <c r="HJA46" s="196"/>
      <c r="HJB46" s="196"/>
      <c r="HJC46" s="196"/>
      <c r="HJD46" s="196"/>
      <c r="HJE46" s="196"/>
      <c r="HJF46" s="647"/>
      <c r="HJG46" s="196"/>
      <c r="HJH46" s="646"/>
      <c r="HJI46" s="1400"/>
      <c r="HJJ46" s="1401"/>
      <c r="HJK46" s="196"/>
      <c r="HJL46" s="196"/>
      <c r="HJM46" s="196"/>
      <c r="HJN46" s="196"/>
      <c r="HJO46" s="196"/>
      <c r="HJP46" s="196"/>
      <c r="HJQ46" s="647"/>
      <c r="HJR46" s="196"/>
      <c r="HJS46" s="646"/>
      <c r="HJT46" s="1400"/>
      <c r="HJU46" s="1401"/>
      <c r="HJV46" s="196"/>
      <c r="HJW46" s="196"/>
      <c r="HJX46" s="196"/>
      <c r="HJY46" s="196"/>
      <c r="HJZ46" s="196"/>
      <c r="HKA46" s="196"/>
      <c r="HKB46" s="647"/>
      <c r="HKC46" s="196"/>
      <c r="HKD46" s="646"/>
      <c r="HKE46" s="1400"/>
      <c r="HKF46" s="1401"/>
      <c r="HKG46" s="196"/>
      <c r="HKH46" s="196"/>
      <c r="HKI46" s="196"/>
      <c r="HKJ46" s="196"/>
      <c r="HKK46" s="196"/>
      <c r="HKL46" s="196"/>
      <c r="HKM46" s="647"/>
      <c r="HKN46" s="196"/>
      <c r="HKO46" s="646"/>
      <c r="HKP46" s="1400"/>
      <c r="HKQ46" s="1401"/>
      <c r="HKR46" s="196"/>
      <c r="HKS46" s="196"/>
      <c r="HKT46" s="196"/>
      <c r="HKU46" s="196"/>
      <c r="HKV46" s="196"/>
      <c r="HKW46" s="196"/>
      <c r="HKX46" s="647"/>
      <c r="HKY46" s="196"/>
      <c r="HKZ46" s="646"/>
      <c r="HLA46" s="1400"/>
      <c r="HLB46" s="1401"/>
      <c r="HLC46" s="196"/>
      <c r="HLD46" s="196"/>
      <c r="HLE46" s="196"/>
      <c r="HLF46" s="196"/>
      <c r="HLG46" s="196"/>
      <c r="HLH46" s="196"/>
      <c r="HLI46" s="647"/>
      <c r="HLJ46" s="196"/>
      <c r="HLK46" s="646"/>
      <c r="HLL46" s="1400"/>
      <c r="HLM46" s="1401"/>
      <c r="HLN46" s="196"/>
      <c r="HLO46" s="196"/>
      <c r="HLP46" s="196"/>
      <c r="HLQ46" s="196"/>
      <c r="HLR46" s="196"/>
      <c r="HLS46" s="196"/>
      <c r="HLT46" s="647"/>
      <c r="HLU46" s="196"/>
      <c r="HLV46" s="646"/>
      <c r="HLW46" s="1400"/>
      <c r="HLX46" s="1401"/>
      <c r="HLY46" s="196"/>
      <c r="HLZ46" s="196"/>
      <c r="HMA46" s="196"/>
      <c r="HMB46" s="196"/>
      <c r="HMC46" s="196"/>
      <c r="HMD46" s="196"/>
      <c r="HME46" s="647"/>
      <c r="HMF46" s="196"/>
      <c r="HMG46" s="646"/>
      <c r="HMH46" s="1400"/>
      <c r="HMI46" s="1401"/>
      <c r="HMJ46" s="196"/>
      <c r="HMK46" s="196"/>
      <c r="HML46" s="196"/>
      <c r="HMM46" s="196"/>
      <c r="HMN46" s="196"/>
      <c r="HMO46" s="196"/>
      <c r="HMP46" s="647"/>
      <c r="HMQ46" s="196"/>
      <c r="HMR46" s="646"/>
      <c r="HMS46" s="1400"/>
      <c r="HMT46" s="1401"/>
      <c r="HMU46" s="196"/>
      <c r="HMV46" s="196"/>
      <c r="HMW46" s="196"/>
      <c r="HMX46" s="196"/>
      <c r="HMY46" s="196"/>
      <c r="HMZ46" s="196"/>
      <c r="HNA46" s="647"/>
      <c r="HNB46" s="196"/>
      <c r="HNC46" s="646"/>
      <c r="HND46" s="1400"/>
      <c r="HNE46" s="1401"/>
      <c r="HNF46" s="196"/>
      <c r="HNG46" s="196"/>
      <c r="HNH46" s="196"/>
      <c r="HNI46" s="196"/>
      <c r="HNJ46" s="196"/>
      <c r="HNK46" s="196"/>
      <c r="HNL46" s="647"/>
      <c r="HNM46" s="196"/>
      <c r="HNN46" s="646"/>
      <c r="HNO46" s="1400"/>
      <c r="HNP46" s="1401"/>
      <c r="HNQ46" s="196"/>
      <c r="HNR46" s="196"/>
      <c r="HNS46" s="196"/>
      <c r="HNT46" s="196"/>
      <c r="HNU46" s="196"/>
      <c r="HNV46" s="196"/>
      <c r="HNW46" s="647"/>
      <c r="HNX46" s="196"/>
      <c r="HNY46" s="646"/>
      <c r="HNZ46" s="1400"/>
      <c r="HOA46" s="1401"/>
      <c r="HOB46" s="196"/>
      <c r="HOC46" s="196"/>
      <c r="HOD46" s="196"/>
      <c r="HOE46" s="196"/>
      <c r="HOF46" s="196"/>
      <c r="HOG46" s="196"/>
      <c r="HOH46" s="647"/>
      <c r="HOI46" s="196"/>
      <c r="HOJ46" s="646"/>
      <c r="HOK46" s="1400"/>
      <c r="HOL46" s="1401"/>
      <c r="HOM46" s="196"/>
      <c r="HON46" s="196"/>
      <c r="HOO46" s="196"/>
      <c r="HOP46" s="196"/>
      <c r="HOQ46" s="196"/>
      <c r="HOR46" s="196"/>
      <c r="HOS46" s="647"/>
      <c r="HOT46" s="196"/>
      <c r="HOU46" s="646"/>
      <c r="HOV46" s="1400"/>
      <c r="HOW46" s="1401"/>
      <c r="HOX46" s="196"/>
      <c r="HOY46" s="196"/>
      <c r="HOZ46" s="196"/>
      <c r="HPA46" s="196"/>
      <c r="HPB46" s="196"/>
      <c r="HPC46" s="196"/>
      <c r="HPD46" s="647"/>
      <c r="HPE46" s="196"/>
      <c r="HPF46" s="646"/>
      <c r="HPG46" s="1400"/>
      <c r="HPH46" s="1401"/>
      <c r="HPI46" s="196"/>
      <c r="HPJ46" s="196"/>
      <c r="HPK46" s="196"/>
      <c r="HPL46" s="196"/>
      <c r="HPM46" s="196"/>
      <c r="HPN46" s="196"/>
      <c r="HPO46" s="647"/>
      <c r="HPP46" s="196"/>
      <c r="HPQ46" s="646"/>
      <c r="HPR46" s="1400"/>
      <c r="HPS46" s="1401"/>
      <c r="HPT46" s="196"/>
      <c r="HPU46" s="196"/>
      <c r="HPV46" s="196"/>
      <c r="HPW46" s="196"/>
      <c r="HPX46" s="196"/>
      <c r="HPY46" s="196"/>
      <c r="HPZ46" s="647"/>
      <c r="HQA46" s="196"/>
      <c r="HQB46" s="646"/>
      <c r="HQC46" s="1400"/>
      <c r="HQD46" s="1401"/>
      <c r="HQE46" s="196"/>
      <c r="HQF46" s="196"/>
      <c r="HQG46" s="196"/>
      <c r="HQH46" s="196"/>
      <c r="HQI46" s="196"/>
      <c r="HQJ46" s="196"/>
      <c r="HQK46" s="647"/>
      <c r="HQL46" s="196"/>
      <c r="HQM46" s="646"/>
      <c r="HQN46" s="1400"/>
      <c r="HQO46" s="1401"/>
      <c r="HQP46" s="196"/>
      <c r="HQQ46" s="196"/>
      <c r="HQR46" s="196"/>
      <c r="HQS46" s="196"/>
      <c r="HQT46" s="196"/>
      <c r="HQU46" s="196"/>
      <c r="HQV46" s="647"/>
      <c r="HQW46" s="196"/>
      <c r="HQX46" s="646"/>
      <c r="HQY46" s="1400"/>
      <c r="HQZ46" s="1401"/>
      <c r="HRA46" s="196"/>
      <c r="HRB46" s="196"/>
      <c r="HRC46" s="196"/>
      <c r="HRD46" s="196"/>
      <c r="HRE46" s="196"/>
      <c r="HRF46" s="196"/>
      <c r="HRG46" s="647"/>
      <c r="HRH46" s="196"/>
      <c r="HRI46" s="646"/>
      <c r="HRJ46" s="1400"/>
      <c r="HRK46" s="1401"/>
      <c r="HRL46" s="196"/>
      <c r="HRM46" s="196"/>
      <c r="HRN46" s="196"/>
      <c r="HRO46" s="196"/>
      <c r="HRP46" s="196"/>
      <c r="HRQ46" s="196"/>
      <c r="HRR46" s="647"/>
      <c r="HRS46" s="196"/>
      <c r="HRT46" s="646"/>
      <c r="HRU46" s="1400"/>
      <c r="HRV46" s="1401"/>
      <c r="HRW46" s="196"/>
      <c r="HRX46" s="196"/>
      <c r="HRY46" s="196"/>
      <c r="HRZ46" s="196"/>
      <c r="HSA46" s="196"/>
      <c r="HSB46" s="196"/>
      <c r="HSC46" s="647"/>
      <c r="HSD46" s="196"/>
      <c r="HSE46" s="646"/>
      <c r="HSF46" s="1400"/>
      <c r="HSG46" s="1401"/>
      <c r="HSH46" s="196"/>
      <c r="HSI46" s="196"/>
      <c r="HSJ46" s="196"/>
      <c r="HSK46" s="196"/>
      <c r="HSL46" s="196"/>
      <c r="HSM46" s="196"/>
      <c r="HSN46" s="647"/>
      <c r="HSO46" s="196"/>
      <c r="HSP46" s="646"/>
      <c r="HSQ46" s="1400"/>
      <c r="HSR46" s="1401"/>
      <c r="HSS46" s="196"/>
      <c r="HST46" s="196"/>
      <c r="HSU46" s="196"/>
      <c r="HSV46" s="196"/>
      <c r="HSW46" s="196"/>
      <c r="HSX46" s="196"/>
      <c r="HSY46" s="647"/>
      <c r="HSZ46" s="196"/>
      <c r="HTA46" s="646"/>
      <c r="HTB46" s="1400"/>
      <c r="HTC46" s="1401"/>
      <c r="HTD46" s="196"/>
      <c r="HTE46" s="196"/>
      <c r="HTF46" s="196"/>
      <c r="HTG46" s="196"/>
      <c r="HTH46" s="196"/>
      <c r="HTI46" s="196"/>
      <c r="HTJ46" s="647"/>
      <c r="HTK46" s="196"/>
      <c r="HTL46" s="646"/>
      <c r="HTM46" s="1400"/>
      <c r="HTN46" s="1401"/>
      <c r="HTO46" s="196"/>
      <c r="HTP46" s="196"/>
      <c r="HTQ46" s="196"/>
      <c r="HTR46" s="196"/>
      <c r="HTS46" s="196"/>
      <c r="HTT46" s="196"/>
      <c r="HTU46" s="647"/>
      <c r="HTV46" s="196"/>
      <c r="HTW46" s="646"/>
      <c r="HTX46" s="1400"/>
      <c r="HTY46" s="1401"/>
      <c r="HTZ46" s="196"/>
      <c r="HUA46" s="196"/>
      <c r="HUB46" s="196"/>
      <c r="HUC46" s="196"/>
      <c r="HUD46" s="196"/>
      <c r="HUE46" s="196"/>
      <c r="HUF46" s="647"/>
      <c r="HUG46" s="196"/>
      <c r="HUH46" s="646"/>
      <c r="HUI46" s="1400"/>
      <c r="HUJ46" s="1401"/>
      <c r="HUK46" s="196"/>
      <c r="HUL46" s="196"/>
      <c r="HUM46" s="196"/>
      <c r="HUN46" s="196"/>
      <c r="HUO46" s="196"/>
      <c r="HUP46" s="196"/>
      <c r="HUQ46" s="647"/>
      <c r="HUR46" s="196"/>
      <c r="HUS46" s="646"/>
      <c r="HUT46" s="1400"/>
      <c r="HUU46" s="1401"/>
      <c r="HUV46" s="196"/>
      <c r="HUW46" s="196"/>
      <c r="HUX46" s="196"/>
      <c r="HUY46" s="196"/>
      <c r="HUZ46" s="196"/>
      <c r="HVA46" s="196"/>
      <c r="HVB46" s="647"/>
      <c r="HVC46" s="196"/>
      <c r="HVD46" s="646"/>
      <c r="HVE46" s="1400"/>
      <c r="HVF46" s="1401"/>
      <c r="HVG46" s="196"/>
      <c r="HVH46" s="196"/>
      <c r="HVI46" s="196"/>
      <c r="HVJ46" s="196"/>
      <c r="HVK46" s="196"/>
      <c r="HVL46" s="196"/>
      <c r="HVM46" s="647"/>
      <c r="HVN46" s="196"/>
      <c r="HVO46" s="646"/>
      <c r="HVP46" s="1400"/>
      <c r="HVQ46" s="1401"/>
      <c r="HVR46" s="196"/>
      <c r="HVS46" s="196"/>
      <c r="HVT46" s="196"/>
      <c r="HVU46" s="196"/>
      <c r="HVV46" s="196"/>
      <c r="HVW46" s="196"/>
      <c r="HVX46" s="647"/>
      <c r="HVY46" s="196"/>
      <c r="HVZ46" s="646"/>
      <c r="HWA46" s="1400"/>
      <c r="HWB46" s="1401"/>
      <c r="HWC46" s="196"/>
      <c r="HWD46" s="196"/>
      <c r="HWE46" s="196"/>
      <c r="HWF46" s="196"/>
      <c r="HWG46" s="196"/>
      <c r="HWH46" s="196"/>
      <c r="HWI46" s="647"/>
      <c r="HWJ46" s="196"/>
      <c r="HWK46" s="646"/>
      <c r="HWL46" s="1400"/>
      <c r="HWM46" s="1401"/>
      <c r="HWN46" s="196"/>
      <c r="HWO46" s="196"/>
      <c r="HWP46" s="196"/>
      <c r="HWQ46" s="196"/>
      <c r="HWR46" s="196"/>
      <c r="HWS46" s="196"/>
      <c r="HWT46" s="647"/>
      <c r="HWU46" s="196"/>
      <c r="HWV46" s="646"/>
      <c r="HWW46" s="1400"/>
      <c r="HWX46" s="1401"/>
      <c r="HWY46" s="196"/>
      <c r="HWZ46" s="196"/>
      <c r="HXA46" s="196"/>
      <c r="HXB46" s="196"/>
      <c r="HXC46" s="196"/>
      <c r="HXD46" s="196"/>
      <c r="HXE46" s="647"/>
      <c r="HXF46" s="196"/>
      <c r="HXG46" s="646"/>
      <c r="HXH46" s="1400"/>
      <c r="HXI46" s="1401"/>
      <c r="HXJ46" s="196"/>
      <c r="HXK46" s="196"/>
      <c r="HXL46" s="196"/>
      <c r="HXM46" s="196"/>
      <c r="HXN46" s="196"/>
      <c r="HXO46" s="196"/>
      <c r="HXP46" s="647"/>
      <c r="HXQ46" s="196"/>
      <c r="HXR46" s="646"/>
      <c r="HXS46" s="1400"/>
      <c r="HXT46" s="1401"/>
      <c r="HXU46" s="196"/>
      <c r="HXV46" s="196"/>
      <c r="HXW46" s="196"/>
      <c r="HXX46" s="196"/>
      <c r="HXY46" s="196"/>
      <c r="HXZ46" s="196"/>
      <c r="HYA46" s="647"/>
      <c r="HYB46" s="196"/>
      <c r="HYC46" s="646"/>
      <c r="HYD46" s="1400"/>
      <c r="HYE46" s="1401"/>
      <c r="HYF46" s="196"/>
      <c r="HYG46" s="196"/>
      <c r="HYH46" s="196"/>
      <c r="HYI46" s="196"/>
      <c r="HYJ46" s="196"/>
      <c r="HYK46" s="196"/>
      <c r="HYL46" s="647"/>
      <c r="HYM46" s="196"/>
      <c r="HYN46" s="646"/>
      <c r="HYO46" s="1400"/>
      <c r="HYP46" s="1401"/>
      <c r="HYQ46" s="196"/>
      <c r="HYR46" s="196"/>
      <c r="HYS46" s="196"/>
      <c r="HYT46" s="196"/>
      <c r="HYU46" s="196"/>
      <c r="HYV46" s="196"/>
      <c r="HYW46" s="647"/>
      <c r="HYX46" s="196"/>
      <c r="HYY46" s="646"/>
      <c r="HYZ46" s="1400"/>
      <c r="HZA46" s="1401"/>
      <c r="HZB46" s="196"/>
      <c r="HZC46" s="196"/>
      <c r="HZD46" s="196"/>
      <c r="HZE46" s="196"/>
      <c r="HZF46" s="196"/>
      <c r="HZG46" s="196"/>
      <c r="HZH46" s="647"/>
      <c r="HZI46" s="196"/>
      <c r="HZJ46" s="646"/>
      <c r="HZK46" s="1400"/>
      <c r="HZL46" s="1401"/>
      <c r="HZM46" s="196"/>
      <c r="HZN46" s="196"/>
      <c r="HZO46" s="196"/>
      <c r="HZP46" s="196"/>
      <c r="HZQ46" s="196"/>
      <c r="HZR46" s="196"/>
      <c r="HZS46" s="647"/>
      <c r="HZT46" s="196"/>
      <c r="HZU46" s="646"/>
      <c r="HZV46" s="1400"/>
      <c r="HZW46" s="1401"/>
      <c r="HZX46" s="196"/>
      <c r="HZY46" s="196"/>
      <c r="HZZ46" s="196"/>
      <c r="IAA46" s="196"/>
      <c r="IAB46" s="196"/>
      <c r="IAC46" s="196"/>
      <c r="IAD46" s="647"/>
      <c r="IAE46" s="196"/>
      <c r="IAF46" s="646"/>
      <c r="IAG46" s="1400"/>
      <c r="IAH46" s="1401"/>
      <c r="IAI46" s="196"/>
      <c r="IAJ46" s="196"/>
      <c r="IAK46" s="196"/>
      <c r="IAL46" s="196"/>
      <c r="IAM46" s="196"/>
      <c r="IAN46" s="196"/>
      <c r="IAO46" s="647"/>
      <c r="IAP46" s="196"/>
      <c r="IAQ46" s="646"/>
      <c r="IAR46" s="1400"/>
      <c r="IAS46" s="1401"/>
      <c r="IAT46" s="196"/>
      <c r="IAU46" s="196"/>
      <c r="IAV46" s="196"/>
      <c r="IAW46" s="196"/>
      <c r="IAX46" s="196"/>
      <c r="IAY46" s="196"/>
      <c r="IAZ46" s="647"/>
      <c r="IBA46" s="196"/>
      <c r="IBB46" s="646"/>
      <c r="IBC46" s="1400"/>
      <c r="IBD46" s="1401"/>
      <c r="IBE46" s="196"/>
      <c r="IBF46" s="196"/>
      <c r="IBG46" s="196"/>
      <c r="IBH46" s="196"/>
      <c r="IBI46" s="196"/>
      <c r="IBJ46" s="196"/>
      <c r="IBK46" s="647"/>
      <c r="IBL46" s="196"/>
      <c r="IBM46" s="646"/>
      <c r="IBN46" s="1400"/>
      <c r="IBO46" s="1401"/>
      <c r="IBP46" s="196"/>
      <c r="IBQ46" s="196"/>
      <c r="IBR46" s="196"/>
      <c r="IBS46" s="196"/>
      <c r="IBT46" s="196"/>
      <c r="IBU46" s="196"/>
      <c r="IBV46" s="647"/>
      <c r="IBW46" s="196"/>
      <c r="IBX46" s="646"/>
      <c r="IBY46" s="1400"/>
      <c r="IBZ46" s="1401"/>
      <c r="ICA46" s="196"/>
      <c r="ICB46" s="196"/>
      <c r="ICC46" s="196"/>
      <c r="ICD46" s="196"/>
      <c r="ICE46" s="196"/>
      <c r="ICF46" s="196"/>
      <c r="ICG46" s="647"/>
      <c r="ICH46" s="196"/>
      <c r="ICI46" s="646"/>
      <c r="ICJ46" s="1400"/>
      <c r="ICK46" s="1401"/>
      <c r="ICL46" s="196"/>
      <c r="ICM46" s="196"/>
      <c r="ICN46" s="196"/>
      <c r="ICO46" s="196"/>
      <c r="ICP46" s="196"/>
      <c r="ICQ46" s="196"/>
      <c r="ICR46" s="647"/>
      <c r="ICS46" s="196"/>
      <c r="ICT46" s="646"/>
      <c r="ICU46" s="1400"/>
      <c r="ICV46" s="1401"/>
      <c r="ICW46" s="196"/>
      <c r="ICX46" s="196"/>
      <c r="ICY46" s="196"/>
      <c r="ICZ46" s="196"/>
      <c r="IDA46" s="196"/>
      <c r="IDB46" s="196"/>
      <c r="IDC46" s="647"/>
      <c r="IDD46" s="196"/>
      <c r="IDE46" s="646"/>
      <c r="IDF46" s="1400"/>
      <c r="IDG46" s="1401"/>
      <c r="IDH46" s="196"/>
      <c r="IDI46" s="196"/>
      <c r="IDJ46" s="196"/>
      <c r="IDK46" s="196"/>
      <c r="IDL46" s="196"/>
      <c r="IDM46" s="196"/>
      <c r="IDN46" s="647"/>
      <c r="IDO46" s="196"/>
      <c r="IDP46" s="646"/>
      <c r="IDQ46" s="1400"/>
      <c r="IDR46" s="1401"/>
      <c r="IDS46" s="196"/>
      <c r="IDT46" s="196"/>
      <c r="IDU46" s="196"/>
      <c r="IDV46" s="196"/>
      <c r="IDW46" s="196"/>
      <c r="IDX46" s="196"/>
      <c r="IDY46" s="647"/>
      <c r="IDZ46" s="196"/>
      <c r="IEA46" s="646"/>
      <c r="IEB46" s="1400"/>
      <c r="IEC46" s="1401"/>
      <c r="IED46" s="196"/>
      <c r="IEE46" s="196"/>
      <c r="IEF46" s="196"/>
      <c r="IEG46" s="196"/>
      <c r="IEH46" s="196"/>
      <c r="IEI46" s="196"/>
      <c r="IEJ46" s="647"/>
      <c r="IEK46" s="196"/>
      <c r="IEL46" s="646"/>
      <c r="IEM46" s="1400"/>
      <c r="IEN46" s="1401"/>
      <c r="IEO46" s="196"/>
      <c r="IEP46" s="196"/>
      <c r="IEQ46" s="196"/>
      <c r="IER46" s="196"/>
      <c r="IES46" s="196"/>
      <c r="IET46" s="196"/>
      <c r="IEU46" s="647"/>
      <c r="IEV46" s="196"/>
      <c r="IEW46" s="646"/>
      <c r="IEX46" s="1400"/>
      <c r="IEY46" s="1401"/>
      <c r="IEZ46" s="196"/>
      <c r="IFA46" s="196"/>
      <c r="IFB46" s="196"/>
      <c r="IFC46" s="196"/>
      <c r="IFD46" s="196"/>
      <c r="IFE46" s="196"/>
      <c r="IFF46" s="647"/>
      <c r="IFG46" s="196"/>
      <c r="IFH46" s="646"/>
      <c r="IFI46" s="1400"/>
      <c r="IFJ46" s="1401"/>
      <c r="IFK46" s="196"/>
      <c r="IFL46" s="196"/>
      <c r="IFM46" s="196"/>
      <c r="IFN46" s="196"/>
      <c r="IFO46" s="196"/>
      <c r="IFP46" s="196"/>
      <c r="IFQ46" s="647"/>
      <c r="IFR46" s="196"/>
      <c r="IFS46" s="646"/>
      <c r="IFT46" s="1400"/>
      <c r="IFU46" s="1401"/>
      <c r="IFV46" s="196"/>
      <c r="IFW46" s="196"/>
      <c r="IFX46" s="196"/>
      <c r="IFY46" s="196"/>
      <c r="IFZ46" s="196"/>
      <c r="IGA46" s="196"/>
      <c r="IGB46" s="647"/>
      <c r="IGC46" s="196"/>
      <c r="IGD46" s="646"/>
      <c r="IGE46" s="1400"/>
      <c r="IGF46" s="1401"/>
      <c r="IGG46" s="196"/>
      <c r="IGH46" s="196"/>
      <c r="IGI46" s="196"/>
      <c r="IGJ46" s="196"/>
      <c r="IGK46" s="196"/>
      <c r="IGL46" s="196"/>
      <c r="IGM46" s="647"/>
      <c r="IGN46" s="196"/>
      <c r="IGO46" s="646"/>
      <c r="IGP46" s="1400"/>
      <c r="IGQ46" s="1401"/>
      <c r="IGR46" s="196"/>
      <c r="IGS46" s="196"/>
      <c r="IGT46" s="196"/>
      <c r="IGU46" s="196"/>
      <c r="IGV46" s="196"/>
      <c r="IGW46" s="196"/>
      <c r="IGX46" s="647"/>
      <c r="IGY46" s="196"/>
      <c r="IGZ46" s="646"/>
      <c r="IHA46" s="1400"/>
      <c r="IHB46" s="1401"/>
      <c r="IHC46" s="196"/>
      <c r="IHD46" s="196"/>
      <c r="IHE46" s="196"/>
      <c r="IHF46" s="196"/>
      <c r="IHG46" s="196"/>
      <c r="IHH46" s="196"/>
      <c r="IHI46" s="647"/>
      <c r="IHJ46" s="196"/>
      <c r="IHK46" s="646"/>
      <c r="IHL46" s="1400"/>
      <c r="IHM46" s="1401"/>
      <c r="IHN46" s="196"/>
      <c r="IHO46" s="196"/>
      <c r="IHP46" s="196"/>
      <c r="IHQ46" s="196"/>
      <c r="IHR46" s="196"/>
      <c r="IHS46" s="196"/>
      <c r="IHT46" s="647"/>
      <c r="IHU46" s="196"/>
      <c r="IHV46" s="646"/>
      <c r="IHW46" s="1400"/>
      <c r="IHX46" s="1401"/>
      <c r="IHY46" s="196"/>
      <c r="IHZ46" s="196"/>
      <c r="IIA46" s="196"/>
      <c r="IIB46" s="196"/>
      <c r="IIC46" s="196"/>
      <c r="IID46" s="196"/>
      <c r="IIE46" s="647"/>
      <c r="IIF46" s="196"/>
      <c r="IIG46" s="646"/>
      <c r="IIH46" s="1400"/>
      <c r="III46" s="1401"/>
      <c r="IIJ46" s="196"/>
      <c r="IIK46" s="196"/>
      <c r="IIL46" s="196"/>
      <c r="IIM46" s="196"/>
      <c r="IIN46" s="196"/>
      <c r="IIO46" s="196"/>
      <c r="IIP46" s="647"/>
      <c r="IIQ46" s="196"/>
      <c r="IIR46" s="646"/>
      <c r="IIS46" s="1400"/>
      <c r="IIT46" s="1401"/>
      <c r="IIU46" s="196"/>
      <c r="IIV46" s="196"/>
      <c r="IIW46" s="196"/>
      <c r="IIX46" s="196"/>
      <c r="IIY46" s="196"/>
      <c r="IIZ46" s="196"/>
      <c r="IJA46" s="647"/>
      <c r="IJB46" s="196"/>
      <c r="IJC46" s="646"/>
      <c r="IJD46" s="1400"/>
      <c r="IJE46" s="1401"/>
      <c r="IJF46" s="196"/>
      <c r="IJG46" s="196"/>
      <c r="IJH46" s="196"/>
      <c r="IJI46" s="196"/>
      <c r="IJJ46" s="196"/>
      <c r="IJK46" s="196"/>
      <c r="IJL46" s="647"/>
      <c r="IJM46" s="196"/>
      <c r="IJN46" s="646"/>
      <c r="IJO46" s="1400"/>
      <c r="IJP46" s="1401"/>
      <c r="IJQ46" s="196"/>
      <c r="IJR46" s="196"/>
      <c r="IJS46" s="196"/>
      <c r="IJT46" s="196"/>
      <c r="IJU46" s="196"/>
      <c r="IJV46" s="196"/>
      <c r="IJW46" s="647"/>
      <c r="IJX46" s="196"/>
      <c r="IJY46" s="646"/>
      <c r="IJZ46" s="1400"/>
      <c r="IKA46" s="1401"/>
      <c r="IKB46" s="196"/>
      <c r="IKC46" s="196"/>
      <c r="IKD46" s="196"/>
      <c r="IKE46" s="196"/>
      <c r="IKF46" s="196"/>
      <c r="IKG46" s="196"/>
      <c r="IKH46" s="647"/>
      <c r="IKI46" s="196"/>
      <c r="IKJ46" s="646"/>
      <c r="IKK46" s="1400"/>
      <c r="IKL46" s="1401"/>
      <c r="IKM46" s="196"/>
      <c r="IKN46" s="196"/>
      <c r="IKO46" s="196"/>
      <c r="IKP46" s="196"/>
      <c r="IKQ46" s="196"/>
      <c r="IKR46" s="196"/>
      <c r="IKS46" s="647"/>
      <c r="IKT46" s="196"/>
      <c r="IKU46" s="646"/>
      <c r="IKV46" s="1400"/>
      <c r="IKW46" s="1401"/>
      <c r="IKX46" s="196"/>
      <c r="IKY46" s="196"/>
      <c r="IKZ46" s="196"/>
      <c r="ILA46" s="196"/>
      <c r="ILB46" s="196"/>
      <c r="ILC46" s="196"/>
      <c r="ILD46" s="647"/>
      <c r="ILE46" s="196"/>
      <c r="ILF46" s="646"/>
      <c r="ILG46" s="1400"/>
      <c r="ILH46" s="1401"/>
      <c r="ILI46" s="196"/>
      <c r="ILJ46" s="196"/>
      <c r="ILK46" s="196"/>
      <c r="ILL46" s="196"/>
      <c r="ILM46" s="196"/>
      <c r="ILN46" s="196"/>
      <c r="ILO46" s="647"/>
      <c r="ILP46" s="196"/>
      <c r="ILQ46" s="646"/>
      <c r="ILR46" s="1400"/>
      <c r="ILS46" s="1401"/>
      <c r="ILT46" s="196"/>
      <c r="ILU46" s="196"/>
      <c r="ILV46" s="196"/>
      <c r="ILW46" s="196"/>
      <c r="ILX46" s="196"/>
      <c r="ILY46" s="196"/>
      <c r="ILZ46" s="647"/>
      <c r="IMA46" s="196"/>
      <c r="IMB46" s="646"/>
      <c r="IMC46" s="1400"/>
      <c r="IMD46" s="1401"/>
      <c r="IME46" s="196"/>
      <c r="IMF46" s="196"/>
      <c r="IMG46" s="196"/>
      <c r="IMH46" s="196"/>
      <c r="IMI46" s="196"/>
      <c r="IMJ46" s="196"/>
      <c r="IMK46" s="647"/>
      <c r="IML46" s="196"/>
      <c r="IMM46" s="646"/>
      <c r="IMN46" s="1400"/>
      <c r="IMO46" s="1401"/>
      <c r="IMP46" s="196"/>
      <c r="IMQ46" s="196"/>
      <c r="IMR46" s="196"/>
      <c r="IMS46" s="196"/>
      <c r="IMT46" s="196"/>
      <c r="IMU46" s="196"/>
      <c r="IMV46" s="647"/>
      <c r="IMW46" s="196"/>
      <c r="IMX46" s="646"/>
      <c r="IMY46" s="1400"/>
      <c r="IMZ46" s="1401"/>
      <c r="INA46" s="196"/>
      <c r="INB46" s="196"/>
      <c r="INC46" s="196"/>
      <c r="IND46" s="196"/>
      <c r="INE46" s="196"/>
      <c r="INF46" s="196"/>
      <c r="ING46" s="647"/>
      <c r="INH46" s="196"/>
      <c r="INI46" s="646"/>
      <c r="INJ46" s="1400"/>
      <c r="INK46" s="1401"/>
      <c r="INL46" s="196"/>
      <c r="INM46" s="196"/>
      <c r="INN46" s="196"/>
      <c r="INO46" s="196"/>
      <c r="INP46" s="196"/>
      <c r="INQ46" s="196"/>
      <c r="INR46" s="647"/>
      <c r="INS46" s="196"/>
      <c r="INT46" s="646"/>
      <c r="INU46" s="1400"/>
      <c r="INV46" s="1401"/>
      <c r="INW46" s="196"/>
      <c r="INX46" s="196"/>
      <c r="INY46" s="196"/>
      <c r="INZ46" s="196"/>
      <c r="IOA46" s="196"/>
      <c r="IOB46" s="196"/>
      <c r="IOC46" s="647"/>
      <c r="IOD46" s="196"/>
      <c r="IOE46" s="646"/>
      <c r="IOF46" s="1400"/>
      <c r="IOG46" s="1401"/>
      <c r="IOH46" s="196"/>
      <c r="IOI46" s="196"/>
      <c r="IOJ46" s="196"/>
      <c r="IOK46" s="196"/>
      <c r="IOL46" s="196"/>
      <c r="IOM46" s="196"/>
      <c r="ION46" s="647"/>
      <c r="IOO46" s="196"/>
      <c r="IOP46" s="646"/>
      <c r="IOQ46" s="1400"/>
      <c r="IOR46" s="1401"/>
      <c r="IOS46" s="196"/>
      <c r="IOT46" s="196"/>
      <c r="IOU46" s="196"/>
      <c r="IOV46" s="196"/>
      <c r="IOW46" s="196"/>
      <c r="IOX46" s="196"/>
      <c r="IOY46" s="647"/>
      <c r="IOZ46" s="196"/>
      <c r="IPA46" s="646"/>
      <c r="IPB46" s="1400"/>
      <c r="IPC46" s="1401"/>
      <c r="IPD46" s="196"/>
      <c r="IPE46" s="196"/>
      <c r="IPF46" s="196"/>
      <c r="IPG46" s="196"/>
      <c r="IPH46" s="196"/>
      <c r="IPI46" s="196"/>
      <c r="IPJ46" s="647"/>
      <c r="IPK46" s="196"/>
      <c r="IPL46" s="646"/>
      <c r="IPM46" s="1400"/>
      <c r="IPN46" s="1401"/>
      <c r="IPO46" s="196"/>
      <c r="IPP46" s="196"/>
      <c r="IPQ46" s="196"/>
      <c r="IPR46" s="196"/>
      <c r="IPS46" s="196"/>
      <c r="IPT46" s="196"/>
      <c r="IPU46" s="647"/>
      <c r="IPV46" s="196"/>
      <c r="IPW46" s="646"/>
      <c r="IPX46" s="1400"/>
      <c r="IPY46" s="1401"/>
      <c r="IPZ46" s="196"/>
      <c r="IQA46" s="196"/>
      <c r="IQB46" s="196"/>
      <c r="IQC46" s="196"/>
      <c r="IQD46" s="196"/>
      <c r="IQE46" s="196"/>
      <c r="IQF46" s="647"/>
      <c r="IQG46" s="196"/>
      <c r="IQH46" s="646"/>
      <c r="IQI46" s="1400"/>
      <c r="IQJ46" s="1401"/>
      <c r="IQK46" s="196"/>
      <c r="IQL46" s="196"/>
      <c r="IQM46" s="196"/>
      <c r="IQN46" s="196"/>
      <c r="IQO46" s="196"/>
      <c r="IQP46" s="196"/>
      <c r="IQQ46" s="647"/>
      <c r="IQR46" s="196"/>
      <c r="IQS46" s="646"/>
      <c r="IQT46" s="1400"/>
      <c r="IQU46" s="1401"/>
      <c r="IQV46" s="196"/>
      <c r="IQW46" s="196"/>
      <c r="IQX46" s="196"/>
      <c r="IQY46" s="196"/>
      <c r="IQZ46" s="196"/>
      <c r="IRA46" s="196"/>
      <c r="IRB46" s="647"/>
      <c r="IRC46" s="196"/>
      <c r="IRD46" s="646"/>
      <c r="IRE46" s="1400"/>
      <c r="IRF46" s="1401"/>
      <c r="IRG46" s="196"/>
      <c r="IRH46" s="196"/>
      <c r="IRI46" s="196"/>
      <c r="IRJ46" s="196"/>
      <c r="IRK46" s="196"/>
      <c r="IRL46" s="196"/>
      <c r="IRM46" s="647"/>
      <c r="IRN46" s="196"/>
      <c r="IRO46" s="646"/>
      <c r="IRP46" s="1400"/>
      <c r="IRQ46" s="1401"/>
      <c r="IRR46" s="196"/>
      <c r="IRS46" s="196"/>
      <c r="IRT46" s="196"/>
      <c r="IRU46" s="196"/>
      <c r="IRV46" s="196"/>
      <c r="IRW46" s="196"/>
      <c r="IRX46" s="647"/>
      <c r="IRY46" s="196"/>
      <c r="IRZ46" s="646"/>
      <c r="ISA46" s="1400"/>
      <c r="ISB46" s="1401"/>
      <c r="ISC46" s="196"/>
      <c r="ISD46" s="196"/>
      <c r="ISE46" s="196"/>
      <c r="ISF46" s="196"/>
      <c r="ISG46" s="196"/>
      <c r="ISH46" s="196"/>
      <c r="ISI46" s="647"/>
      <c r="ISJ46" s="196"/>
      <c r="ISK46" s="646"/>
      <c r="ISL46" s="1400"/>
      <c r="ISM46" s="1401"/>
      <c r="ISN46" s="196"/>
      <c r="ISO46" s="196"/>
      <c r="ISP46" s="196"/>
      <c r="ISQ46" s="196"/>
      <c r="ISR46" s="196"/>
      <c r="ISS46" s="196"/>
      <c r="IST46" s="647"/>
      <c r="ISU46" s="196"/>
      <c r="ISV46" s="646"/>
      <c r="ISW46" s="1400"/>
      <c r="ISX46" s="1401"/>
      <c r="ISY46" s="196"/>
      <c r="ISZ46" s="196"/>
      <c r="ITA46" s="196"/>
      <c r="ITB46" s="196"/>
      <c r="ITC46" s="196"/>
      <c r="ITD46" s="196"/>
      <c r="ITE46" s="647"/>
      <c r="ITF46" s="196"/>
      <c r="ITG46" s="646"/>
      <c r="ITH46" s="1400"/>
      <c r="ITI46" s="1401"/>
      <c r="ITJ46" s="196"/>
      <c r="ITK46" s="196"/>
      <c r="ITL46" s="196"/>
      <c r="ITM46" s="196"/>
      <c r="ITN46" s="196"/>
      <c r="ITO46" s="196"/>
      <c r="ITP46" s="647"/>
      <c r="ITQ46" s="196"/>
      <c r="ITR46" s="646"/>
      <c r="ITS46" s="1400"/>
      <c r="ITT46" s="1401"/>
      <c r="ITU46" s="196"/>
      <c r="ITV46" s="196"/>
      <c r="ITW46" s="196"/>
      <c r="ITX46" s="196"/>
      <c r="ITY46" s="196"/>
      <c r="ITZ46" s="196"/>
      <c r="IUA46" s="647"/>
      <c r="IUB46" s="196"/>
      <c r="IUC46" s="646"/>
      <c r="IUD46" s="1400"/>
      <c r="IUE46" s="1401"/>
      <c r="IUF46" s="196"/>
      <c r="IUG46" s="196"/>
      <c r="IUH46" s="196"/>
      <c r="IUI46" s="196"/>
      <c r="IUJ46" s="196"/>
      <c r="IUK46" s="196"/>
      <c r="IUL46" s="647"/>
      <c r="IUM46" s="196"/>
      <c r="IUN46" s="646"/>
      <c r="IUO46" s="1400"/>
      <c r="IUP46" s="1401"/>
      <c r="IUQ46" s="196"/>
      <c r="IUR46" s="196"/>
      <c r="IUS46" s="196"/>
      <c r="IUT46" s="196"/>
      <c r="IUU46" s="196"/>
      <c r="IUV46" s="196"/>
      <c r="IUW46" s="647"/>
      <c r="IUX46" s="196"/>
      <c r="IUY46" s="646"/>
      <c r="IUZ46" s="1400"/>
      <c r="IVA46" s="1401"/>
      <c r="IVB46" s="196"/>
      <c r="IVC46" s="196"/>
      <c r="IVD46" s="196"/>
      <c r="IVE46" s="196"/>
      <c r="IVF46" s="196"/>
      <c r="IVG46" s="196"/>
      <c r="IVH46" s="647"/>
      <c r="IVI46" s="196"/>
      <c r="IVJ46" s="646"/>
      <c r="IVK46" s="1400"/>
      <c r="IVL46" s="1401"/>
      <c r="IVM46" s="196"/>
      <c r="IVN46" s="196"/>
      <c r="IVO46" s="196"/>
      <c r="IVP46" s="196"/>
      <c r="IVQ46" s="196"/>
      <c r="IVR46" s="196"/>
      <c r="IVS46" s="647"/>
      <c r="IVT46" s="196"/>
      <c r="IVU46" s="646"/>
      <c r="IVV46" s="1400"/>
      <c r="IVW46" s="1401"/>
      <c r="IVX46" s="196"/>
      <c r="IVY46" s="196"/>
      <c r="IVZ46" s="196"/>
      <c r="IWA46" s="196"/>
      <c r="IWB46" s="196"/>
      <c r="IWC46" s="196"/>
      <c r="IWD46" s="647"/>
      <c r="IWE46" s="196"/>
      <c r="IWF46" s="646"/>
      <c r="IWG46" s="1400"/>
      <c r="IWH46" s="1401"/>
      <c r="IWI46" s="196"/>
      <c r="IWJ46" s="196"/>
      <c r="IWK46" s="196"/>
      <c r="IWL46" s="196"/>
      <c r="IWM46" s="196"/>
      <c r="IWN46" s="196"/>
      <c r="IWO46" s="647"/>
      <c r="IWP46" s="196"/>
      <c r="IWQ46" s="646"/>
      <c r="IWR46" s="1400"/>
      <c r="IWS46" s="1401"/>
      <c r="IWT46" s="196"/>
      <c r="IWU46" s="196"/>
      <c r="IWV46" s="196"/>
      <c r="IWW46" s="196"/>
      <c r="IWX46" s="196"/>
      <c r="IWY46" s="196"/>
      <c r="IWZ46" s="647"/>
      <c r="IXA46" s="196"/>
      <c r="IXB46" s="646"/>
      <c r="IXC46" s="1400"/>
      <c r="IXD46" s="1401"/>
      <c r="IXE46" s="196"/>
      <c r="IXF46" s="196"/>
      <c r="IXG46" s="196"/>
      <c r="IXH46" s="196"/>
      <c r="IXI46" s="196"/>
      <c r="IXJ46" s="196"/>
      <c r="IXK46" s="647"/>
      <c r="IXL46" s="196"/>
      <c r="IXM46" s="646"/>
      <c r="IXN46" s="1400"/>
      <c r="IXO46" s="1401"/>
      <c r="IXP46" s="196"/>
      <c r="IXQ46" s="196"/>
      <c r="IXR46" s="196"/>
      <c r="IXS46" s="196"/>
      <c r="IXT46" s="196"/>
      <c r="IXU46" s="196"/>
      <c r="IXV46" s="647"/>
      <c r="IXW46" s="196"/>
      <c r="IXX46" s="646"/>
      <c r="IXY46" s="1400"/>
      <c r="IXZ46" s="1401"/>
      <c r="IYA46" s="196"/>
      <c r="IYB46" s="196"/>
      <c r="IYC46" s="196"/>
      <c r="IYD46" s="196"/>
      <c r="IYE46" s="196"/>
      <c r="IYF46" s="196"/>
      <c r="IYG46" s="647"/>
      <c r="IYH46" s="196"/>
      <c r="IYI46" s="646"/>
      <c r="IYJ46" s="1400"/>
      <c r="IYK46" s="1401"/>
      <c r="IYL46" s="196"/>
      <c r="IYM46" s="196"/>
      <c r="IYN46" s="196"/>
      <c r="IYO46" s="196"/>
      <c r="IYP46" s="196"/>
      <c r="IYQ46" s="196"/>
      <c r="IYR46" s="647"/>
      <c r="IYS46" s="196"/>
      <c r="IYT46" s="646"/>
      <c r="IYU46" s="1400"/>
      <c r="IYV46" s="1401"/>
      <c r="IYW46" s="196"/>
      <c r="IYX46" s="196"/>
      <c r="IYY46" s="196"/>
      <c r="IYZ46" s="196"/>
      <c r="IZA46" s="196"/>
      <c r="IZB46" s="196"/>
      <c r="IZC46" s="647"/>
      <c r="IZD46" s="196"/>
      <c r="IZE46" s="646"/>
      <c r="IZF46" s="1400"/>
      <c r="IZG46" s="1401"/>
      <c r="IZH46" s="196"/>
      <c r="IZI46" s="196"/>
      <c r="IZJ46" s="196"/>
      <c r="IZK46" s="196"/>
      <c r="IZL46" s="196"/>
      <c r="IZM46" s="196"/>
      <c r="IZN46" s="647"/>
      <c r="IZO46" s="196"/>
      <c r="IZP46" s="646"/>
      <c r="IZQ46" s="1400"/>
      <c r="IZR46" s="1401"/>
      <c r="IZS46" s="196"/>
      <c r="IZT46" s="196"/>
      <c r="IZU46" s="196"/>
      <c r="IZV46" s="196"/>
      <c r="IZW46" s="196"/>
      <c r="IZX46" s="196"/>
      <c r="IZY46" s="647"/>
      <c r="IZZ46" s="196"/>
      <c r="JAA46" s="646"/>
      <c r="JAB46" s="1400"/>
      <c r="JAC46" s="1401"/>
      <c r="JAD46" s="196"/>
      <c r="JAE46" s="196"/>
      <c r="JAF46" s="196"/>
      <c r="JAG46" s="196"/>
      <c r="JAH46" s="196"/>
      <c r="JAI46" s="196"/>
      <c r="JAJ46" s="647"/>
      <c r="JAK46" s="196"/>
      <c r="JAL46" s="646"/>
      <c r="JAM46" s="1400"/>
      <c r="JAN46" s="1401"/>
      <c r="JAO46" s="196"/>
      <c r="JAP46" s="196"/>
      <c r="JAQ46" s="196"/>
      <c r="JAR46" s="196"/>
      <c r="JAS46" s="196"/>
      <c r="JAT46" s="196"/>
      <c r="JAU46" s="647"/>
      <c r="JAV46" s="196"/>
      <c r="JAW46" s="646"/>
      <c r="JAX46" s="1400"/>
      <c r="JAY46" s="1401"/>
      <c r="JAZ46" s="196"/>
      <c r="JBA46" s="196"/>
      <c r="JBB46" s="196"/>
      <c r="JBC46" s="196"/>
      <c r="JBD46" s="196"/>
      <c r="JBE46" s="196"/>
      <c r="JBF46" s="647"/>
      <c r="JBG46" s="196"/>
      <c r="JBH46" s="646"/>
      <c r="JBI46" s="1400"/>
      <c r="JBJ46" s="1401"/>
      <c r="JBK46" s="196"/>
      <c r="JBL46" s="196"/>
      <c r="JBM46" s="196"/>
      <c r="JBN46" s="196"/>
      <c r="JBO46" s="196"/>
      <c r="JBP46" s="196"/>
      <c r="JBQ46" s="647"/>
      <c r="JBR46" s="196"/>
      <c r="JBS46" s="646"/>
      <c r="JBT46" s="1400"/>
      <c r="JBU46" s="1401"/>
      <c r="JBV46" s="196"/>
      <c r="JBW46" s="196"/>
      <c r="JBX46" s="196"/>
      <c r="JBY46" s="196"/>
      <c r="JBZ46" s="196"/>
      <c r="JCA46" s="196"/>
      <c r="JCB46" s="647"/>
      <c r="JCC46" s="196"/>
      <c r="JCD46" s="646"/>
      <c r="JCE46" s="1400"/>
      <c r="JCF46" s="1401"/>
      <c r="JCG46" s="196"/>
      <c r="JCH46" s="196"/>
      <c r="JCI46" s="196"/>
      <c r="JCJ46" s="196"/>
      <c r="JCK46" s="196"/>
      <c r="JCL46" s="196"/>
      <c r="JCM46" s="647"/>
      <c r="JCN46" s="196"/>
      <c r="JCO46" s="646"/>
      <c r="JCP46" s="1400"/>
      <c r="JCQ46" s="1401"/>
      <c r="JCR46" s="196"/>
      <c r="JCS46" s="196"/>
      <c r="JCT46" s="196"/>
      <c r="JCU46" s="196"/>
      <c r="JCV46" s="196"/>
      <c r="JCW46" s="196"/>
      <c r="JCX46" s="647"/>
      <c r="JCY46" s="196"/>
      <c r="JCZ46" s="646"/>
      <c r="JDA46" s="1400"/>
      <c r="JDB46" s="1401"/>
      <c r="JDC46" s="196"/>
      <c r="JDD46" s="196"/>
      <c r="JDE46" s="196"/>
      <c r="JDF46" s="196"/>
      <c r="JDG46" s="196"/>
      <c r="JDH46" s="196"/>
      <c r="JDI46" s="647"/>
      <c r="JDJ46" s="196"/>
      <c r="JDK46" s="646"/>
      <c r="JDL46" s="1400"/>
      <c r="JDM46" s="1401"/>
      <c r="JDN46" s="196"/>
      <c r="JDO46" s="196"/>
      <c r="JDP46" s="196"/>
      <c r="JDQ46" s="196"/>
      <c r="JDR46" s="196"/>
      <c r="JDS46" s="196"/>
      <c r="JDT46" s="647"/>
      <c r="JDU46" s="196"/>
      <c r="JDV46" s="646"/>
      <c r="JDW46" s="1400"/>
      <c r="JDX46" s="1401"/>
      <c r="JDY46" s="196"/>
      <c r="JDZ46" s="196"/>
      <c r="JEA46" s="196"/>
      <c r="JEB46" s="196"/>
      <c r="JEC46" s="196"/>
      <c r="JED46" s="196"/>
      <c r="JEE46" s="647"/>
      <c r="JEF46" s="196"/>
      <c r="JEG46" s="646"/>
      <c r="JEH46" s="1400"/>
      <c r="JEI46" s="1401"/>
      <c r="JEJ46" s="196"/>
      <c r="JEK46" s="196"/>
      <c r="JEL46" s="196"/>
      <c r="JEM46" s="196"/>
      <c r="JEN46" s="196"/>
      <c r="JEO46" s="196"/>
      <c r="JEP46" s="647"/>
      <c r="JEQ46" s="196"/>
      <c r="JER46" s="646"/>
      <c r="JES46" s="1400"/>
      <c r="JET46" s="1401"/>
      <c r="JEU46" s="196"/>
      <c r="JEV46" s="196"/>
      <c r="JEW46" s="196"/>
      <c r="JEX46" s="196"/>
      <c r="JEY46" s="196"/>
      <c r="JEZ46" s="196"/>
      <c r="JFA46" s="647"/>
      <c r="JFB46" s="196"/>
      <c r="JFC46" s="646"/>
      <c r="JFD46" s="1400"/>
      <c r="JFE46" s="1401"/>
      <c r="JFF46" s="196"/>
      <c r="JFG46" s="196"/>
      <c r="JFH46" s="196"/>
      <c r="JFI46" s="196"/>
      <c r="JFJ46" s="196"/>
      <c r="JFK46" s="196"/>
      <c r="JFL46" s="647"/>
      <c r="JFM46" s="196"/>
      <c r="JFN46" s="646"/>
      <c r="JFO46" s="1400"/>
      <c r="JFP46" s="1401"/>
      <c r="JFQ46" s="196"/>
      <c r="JFR46" s="196"/>
      <c r="JFS46" s="196"/>
      <c r="JFT46" s="196"/>
      <c r="JFU46" s="196"/>
      <c r="JFV46" s="196"/>
      <c r="JFW46" s="647"/>
      <c r="JFX46" s="196"/>
      <c r="JFY46" s="646"/>
      <c r="JFZ46" s="1400"/>
      <c r="JGA46" s="1401"/>
      <c r="JGB46" s="196"/>
      <c r="JGC46" s="196"/>
      <c r="JGD46" s="196"/>
      <c r="JGE46" s="196"/>
      <c r="JGF46" s="196"/>
      <c r="JGG46" s="196"/>
      <c r="JGH46" s="647"/>
      <c r="JGI46" s="196"/>
      <c r="JGJ46" s="646"/>
      <c r="JGK46" s="1400"/>
      <c r="JGL46" s="1401"/>
      <c r="JGM46" s="196"/>
      <c r="JGN46" s="196"/>
      <c r="JGO46" s="196"/>
      <c r="JGP46" s="196"/>
      <c r="JGQ46" s="196"/>
      <c r="JGR46" s="196"/>
      <c r="JGS46" s="647"/>
      <c r="JGT46" s="196"/>
      <c r="JGU46" s="646"/>
      <c r="JGV46" s="1400"/>
      <c r="JGW46" s="1401"/>
      <c r="JGX46" s="196"/>
      <c r="JGY46" s="196"/>
      <c r="JGZ46" s="196"/>
      <c r="JHA46" s="196"/>
      <c r="JHB46" s="196"/>
      <c r="JHC46" s="196"/>
      <c r="JHD46" s="647"/>
      <c r="JHE46" s="196"/>
      <c r="JHF46" s="646"/>
      <c r="JHG46" s="1400"/>
      <c r="JHH46" s="1401"/>
      <c r="JHI46" s="196"/>
      <c r="JHJ46" s="196"/>
      <c r="JHK46" s="196"/>
      <c r="JHL46" s="196"/>
      <c r="JHM46" s="196"/>
      <c r="JHN46" s="196"/>
      <c r="JHO46" s="647"/>
      <c r="JHP46" s="196"/>
      <c r="JHQ46" s="646"/>
      <c r="JHR46" s="1400"/>
      <c r="JHS46" s="1401"/>
      <c r="JHT46" s="196"/>
      <c r="JHU46" s="196"/>
      <c r="JHV46" s="196"/>
      <c r="JHW46" s="196"/>
      <c r="JHX46" s="196"/>
      <c r="JHY46" s="196"/>
      <c r="JHZ46" s="647"/>
      <c r="JIA46" s="196"/>
      <c r="JIB46" s="646"/>
      <c r="JIC46" s="1400"/>
      <c r="JID46" s="1401"/>
      <c r="JIE46" s="196"/>
      <c r="JIF46" s="196"/>
      <c r="JIG46" s="196"/>
      <c r="JIH46" s="196"/>
      <c r="JII46" s="196"/>
      <c r="JIJ46" s="196"/>
      <c r="JIK46" s="647"/>
      <c r="JIL46" s="196"/>
      <c r="JIM46" s="646"/>
      <c r="JIN46" s="1400"/>
      <c r="JIO46" s="1401"/>
      <c r="JIP46" s="196"/>
      <c r="JIQ46" s="196"/>
      <c r="JIR46" s="196"/>
      <c r="JIS46" s="196"/>
      <c r="JIT46" s="196"/>
      <c r="JIU46" s="196"/>
      <c r="JIV46" s="647"/>
      <c r="JIW46" s="196"/>
      <c r="JIX46" s="646"/>
      <c r="JIY46" s="1400"/>
      <c r="JIZ46" s="1401"/>
      <c r="JJA46" s="196"/>
      <c r="JJB46" s="196"/>
      <c r="JJC46" s="196"/>
      <c r="JJD46" s="196"/>
      <c r="JJE46" s="196"/>
      <c r="JJF46" s="196"/>
      <c r="JJG46" s="647"/>
      <c r="JJH46" s="196"/>
      <c r="JJI46" s="646"/>
      <c r="JJJ46" s="1400"/>
      <c r="JJK46" s="1401"/>
      <c r="JJL46" s="196"/>
      <c r="JJM46" s="196"/>
      <c r="JJN46" s="196"/>
      <c r="JJO46" s="196"/>
      <c r="JJP46" s="196"/>
      <c r="JJQ46" s="196"/>
      <c r="JJR46" s="647"/>
      <c r="JJS46" s="196"/>
      <c r="JJT46" s="646"/>
      <c r="JJU46" s="1400"/>
      <c r="JJV46" s="1401"/>
      <c r="JJW46" s="196"/>
      <c r="JJX46" s="196"/>
      <c r="JJY46" s="196"/>
      <c r="JJZ46" s="196"/>
      <c r="JKA46" s="196"/>
      <c r="JKB46" s="196"/>
      <c r="JKC46" s="647"/>
      <c r="JKD46" s="196"/>
      <c r="JKE46" s="646"/>
      <c r="JKF46" s="1400"/>
      <c r="JKG46" s="1401"/>
      <c r="JKH46" s="196"/>
      <c r="JKI46" s="196"/>
      <c r="JKJ46" s="196"/>
      <c r="JKK46" s="196"/>
      <c r="JKL46" s="196"/>
      <c r="JKM46" s="196"/>
      <c r="JKN46" s="647"/>
      <c r="JKO46" s="196"/>
      <c r="JKP46" s="646"/>
      <c r="JKQ46" s="1400"/>
      <c r="JKR46" s="1401"/>
      <c r="JKS46" s="196"/>
      <c r="JKT46" s="196"/>
      <c r="JKU46" s="196"/>
      <c r="JKV46" s="196"/>
      <c r="JKW46" s="196"/>
      <c r="JKX46" s="196"/>
      <c r="JKY46" s="647"/>
      <c r="JKZ46" s="196"/>
      <c r="JLA46" s="646"/>
      <c r="JLB46" s="1400"/>
      <c r="JLC46" s="1401"/>
      <c r="JLD46" s="196"/>
      <c r="JLE46" s="196"/>
      <c r="JLF46" s="196"/>
      <c r="JLG46" s="196"/>
      <c r="JLH46" s="196"/>
      <c r="JLI46" s="196"/>
      <c r="JLJ46" s="647"/>
      <c r="JLK46" s="196"/>
      <c r="JLL46" s="646"/>
      <c r="JLM46" s="1400"/>
      <c r="JLN46" s="1401"/>
      <c r="JLO46" s="196"/>
      <c r="JLP46" s="196"/>
      <c r="JLQ46" s="196"/>
      <c r="JLR46" s="196"/>
      <c r="JLS46" s="196"/>
      <c r="JLT46" s="196"/>
      <c r="JLU46" s="647"/>
      <c r="JLV46" s="196"/>
      <c r="JLW46" s="646"/>
      <c r="JLX46" s="1400"/>
      <c r="JLY46" s="1401"/>
      <c r="JLZ46" s="196"/>
      <c r="JMA46" s="196"/>
      <c r="JMB46" s="196"/>
      <c r="JMC46" s="196"/>
      <c r="JMD46" s="196"/>
      <c r="JME46" s="196"/>
      <c r="JMF46" s="647"/>
      <c r="JMG46" s="196"/>
      <c r="JMH46" s="646"/>
      <c r="JMI46" s="1400"/>
      <c r="JMJ46" s="1401"/>
      <c r="JMK46" s="196"/>
      <c r="JML46" s="196"/>
      <c r="JMM46" s="196"/>
      <c r="JMN46" s="196"/>
      <c r="JMO46" s="196"/>
      <c r="JMP46" s="196"/>
      <c r="JMQ46" s="647"/>
      <c r="JMR46" s="196"/>
      <c r="JMS46" s="646"/>
      <c r="JMT46" s="1400"/>
      <c r="JMU46" s="1401"/>
      <c r="JMV46" s="196"/>
      <c r="JMW46" s="196"/>
      <c r="JMX46" s="196"/>
      <c r="JMY46" s="196"/>
      <c r="JMZ46" s="196"/>
      <c r="JNA46" s="196"/>
      <c r="JNB46" s="647"/>
      <c r="JNC46" s="196"/>
      <c r="JND46" s="646"/>
      <c r="JNE46" s="1400"/>
      <c r="JNF46" s="1401"/>
      <c r="JNG46" s="196"/>
      <c r="JNH46" s="196"/>
      <c r="JNI46" s="196"/>
      <c r="JNJ46" s="196"/>
      <c r="JNK46" s="196"/>
      <c r="JNL46" s="196"/>
      <c r="JNM46" s="647"/>
      <c r="JNN46" s="196"/>
      <c r="JNO46" s="646"/>
      <c r="JNP46" s="1400"/>
      <c r="JNQ46" s="1401"/>
      <c r="JNR46" s="196"/>
      <c r="JNS46" s="196"/>
      <c r="JNT46" s="196"/>
      <c r="JNU46" s="196"/>
      <c r="JNV46" s="196"/>
      <c r="JNW46" s="196"/>
      <c r="JNX46" s="647"/>
      <c r="JNY46" s="196"/>
      <c r="JNZ46" s="646"/>
      <c r="JOA46" s="1400"/>
      <c r="JOB46" s="1401"/>
      <c r="JOC46" s="196"/>
      <c r="JOD46" s="196"/>
      <c r="JOE46" s="196"/>
      <c r="JOF46" s="196"/>
      <c r="JOG46" s="196"/>
      <c r="JOH46" s="196"/>
      <c r="JOI46" s="647"/>
      <c r="JOJ46" s="196"/>
      <c r="JOK46" s="646"/>
      <c r="JOL46" s="1400"/>
      <c r="JOM46" s="1401"/>
      <c r="JON46" s="196"/>
      <c r="JOO46" s="196"/>
      <c r="JOP46" s="196"/>
      <c r="JOQ46" s="196"/>
      <c r="JOR46" s="196"/>
      <c r="JOS46" s="196"/>
      <c r="JOT46" s="647"/>
      <c r="JOU46" s="196"/>
      <c r="JOV46" s="646"/>
      <c r="JOW46" s="1400"/>
      <c r="JOX46" s="1401"/>
      <c r="JOY46" s="196"/>
      <c r="JOZ46" s="196"/>
      <c r="JPA46" s="196"/>
      <c r="JPB46" s="196"/>
      <c r="JPC46" s="196"/>
      <c r="JPD46" s="196"/>
      <c r="JPE46" s="647"/>
      <c r="JPF46" s="196"/>
      <c r="JPG46" s="646"/>
      <c r="JPH46" s="1400"/>
      <c r="JPI46" s="1401"/>
      <c r="JPJ46" s="196"/>
      <c r="JPK46" s="196"/>
      <c r="JPL46" s="196"/>
      <c r="JPM46" s="196"/>
      <c r="JPN46" s="196"/>
      <c r="JPO46" s="196"/>
      <c r="JPP46" s="647"/>
      <c r="JPQ46" s="196"/>
      <c r="JPR46" s="646"/>
      <c r="JPS46" s="1400"/>
      <c r="JPT46" s="1401"/>
      <c r="JPU46" s="196"/>
      <c r="JPV46" s="196"/>
      <c r="JPW46" s="196"/>
      <c r="JPX46" s="196"/>
      <c r="JPY46" s="196"/>
      <c r="JPZ46" s="196"/>
      <c r="JQA46" s="647"/>
      <c r="JQB46" s="196"/>
      <c r="JQC46" s="646"/>
      <c r="JQD46" s="1400"/>
      <c r="JQE46" s="1401"/>
      <c r="JQF46" s="196"/>
      <c r="JQG46" s="196"/>
      <c r="JQH46" s="196"/>
      <c r="JQI46" s="196"/>
      <c r="JQJ46" s="196"/>
      <c r="JQK46" s="196"/>
      <c r="JQL46" s="647"/>
      <c r="JQM46" s="196"/>
      <c r="JQN46" s="646"/>
      <c r="JQO46" s="1400"/>
      <c r="JQP46" s="1401"/>
      <c r="JQQ46" s="196"/>
      <c r="JQR46" s="196"/>
      <c r="JQS46" s="196"/>
      <c r="JQT46" s="196"/>
      <c r="JQU46" s="196"/>
      <c r="JQV46" s="196"/>
      <c r="JQW46" s="647"/>
      <c r="JQX46" s="196"/>
      <c r="JQY46" s="646"/>
      <c r="JQZ46" s="1400"/>
      <c r="JRA46" s="1401"/>
      <c r="JRB46" s="196"/>
      <c r="JRC46" s="196"/>
      <c r="JRD46" s="196"/>
      <c r="JRE46" s="196"/>
      <c r="JRF46" s="196"/>
      <c r="JRG46" s="196"/>
      <c r="JRH46" s="647"/>
      <c r="JRI46" s="196"/>
      <c r="JRJ46" s="646"/>
      <c r="JRK46" s="1400"/>
      <c r="JRL46" s="1401"/>
      <c r="JRM46" s="196"/>
      <c r="JRN46" s="196"/>
      <c r="JRO46" s="196"/>
      <c r="JRP46" s="196"/>
      <c r="JRQ46" s="196"/>
      <c r="JRR46" s="196"/>
      <c r="JRS46" s="647"/>
      <c r="JRT46" s="196"/>
      <c r="JRU46" s="646"/>
      <c r="JRV46" s="1400"/>
      <c r="JRW46" s="1401"/>
      <c r="JRX46" s="196"/>
      <c r="JRY46" s="196"/>
      <c r="JRZ46" s="196"/>
      <c r="JSA46" s="196"/>
      <c r="JSB46" s="196"/>
      <c r="JSC46" s="196"/>
      <c r="JSD46" s="647"/>
      <c r="JSE46" s="196"/>
      <c r="JSF46" s="646"/>
      <c r="JSG46" s="1400"/>
      <c r="JSH46" s="1401"/>
      <c r="JSI46" s="196"/>
      <c r="JSJ46" s="196"/>
      <c r="JSK46" s="196"/>
      <c r="JSL46" s="196"/>
      <c r="JSM46" s="196"/>
      <c r="JSN46" s="196"/>
      <c r="JSO46" s="647"/>
      <c r="JSP46" s="196"/>
      <c r="JSQ46" s="646"/>
      <c r="JSR46" s="1400"/>
      <c r="JSS46" s="1401"/>
      <c r="JST46" s="196"/>
      <c r="JSU46" s="196"/>
      <c r="JSV46" s="196"/>
      <c r="JSW46" s="196"/>
      <c r="JSX46" s="196"/>
      <c r="JSY46" s="196"/>
      <c r="JSZ46" s="647"/>
      <c r="JTA46" s="196"/>
      <c r="JTB46" s="646"/>
      <c r="JTC46" s="1400"/>
      <c r="JTD46" s="1401"/>
      <c r="JTE46" s="196"/>
      <c r="JTF46" s="196"/>
      <c r="JTG46" s="196"/>
      <c r="JTH46" s="196"/>
      <c r="JTI46" s="196"/>
      <c r="JTJ46" s="196"/>
      <c r="JTK46" s="647"/>
      <c r="JTL46" s="196"/>
      <c r="JTM46" s="646"/>
      <c r="JTN46" s="1400"/>
      <c r="JTO46" s="1401"/>
      <c r="JTP46" s="196"/>
      <c r="JTQ46" s="196"/>
      <c r="JTR46" s="196"/>
      <c r="JTS46" s="196"/>
      <c r="JTT46" s="196"/>
      <c r="JTU46" s="196"/>
      <c r="JTV46" s="647"/>
      <c r="JTW46" s="196"/>
      <c r="JTX46" s="646"/>
      <c r="JTY46" s="1400"/>
      <c r="JTZ46" s="1401"/>
      <c r="JUA46" s="196"/>
      <c r="JUB46" s="196"/>
      <c r="JUC46" s="196"/>
      <c r="JUD46" s="196"/>
      <c r="JUE46" s="196"/>
      <c r="JUF46" s="196"/>
      <c r="JUG46" s="647"/>
      <c r="JUH46" s="196"/>
      <c r="JUI46" s="646"/>
      <c r="JUJ46" s="1400"/>
      <c r="JUK46" s="1401"/>
      <c r="JUL46" s="196"/>
      <c r="JUM46" s="196"/>
      <c r="JUN46" s="196"/>
      <c r="JUO46" s="196"/>
      <c r="JUP46" s="196"/>
      <c r="JUQ46" s="196"/>
      <c r="JUR46" s="647"/>
      <c r="JUS46" s="196"/>
      <c r="JUT46" s="646"/>
      <c r="JUU46" s="1400"/>
      <c r="JUV46" s="1401"/>
      <c r="JUW46" s="196"/>
      <c r="JUX46" s="196"/>
      <c r="JUY46" s="196"/>
      <c r="JUZ46" s="196"/>
      <c r="JVA46" s="196"/>
      <c r="JVB46" s="196"/>
      <c r="JVC46" s="647"/>
      <c r="JVD46" s="196"/>
      <c r="JVE46" s="646"/>
      <c r="JVF46" s="1400"/>
      <c r="JVG46" s="1401"/>
      <c r="JVH46" s="196"/>
      <c r="JVI46" s="196"/>
      <c r="JVJ46" s="196"/>
      <c r="JVK46" s="196"/>
      <c r="JVL46" s="196"/>
      <c r="JVM46" s="196"/>
      <c r="JVN46" s="647"/>
      <c r="JVO46" s="196"/>
      <c r="JVP46" s="646"/>
      <c r="JVQ46" s="1400"/>
      <c r="JVR46" s="1401"/>
      <c r="JVS46" s="196"/>
      <c r="JVT46" s="196"/>
      <c r="JVU46" s="196"/>
      <c r="JVV46" s="196"/>
      <c r="JVW46" s="196"/>
      <c r="JVX46" s="196"/>
      <c r="JVY46" s="647"/>
      <c r="JVZ46" s="196"/>
      <c r="JWA46" s="646"/>
      <c r="JWB46" s="1400"/>
      <c r="JWC46" s="1401"/>
      <c r="JWD46" s="196"/>
      <c r="JWE46" s="196"/>
      <c r="JWF46" s="196"/>
      <c r="JWG46" s="196"/>
      <c r="JWH46" s="196"/>
      <c r="JWI46" s="196"/>
      <c r="JWJ46" s="647"/>
      <c r="JWK46" s="196"/>
      <c r="JWL46" s="646"/>
      <c r="JWM46" s="1400"/>
      <c r="JWN46" s="1401"/>
      <c r="JWO46" s="196"/>
      <c r="JWP46" s="196"/>
      <c r="JWQ46" s="196"/>
      <c r="JWR46" s="196"/>
      <c r="JWS46" s="196"/>
      <c r="JWT46" s="196"/>
      <c r="JWU46" s="647"/>
      <c r="JWV46" s="196"/>
      <c r="JWW46" s="646"/>
      <c r="JWX46" s="1400"/>
      <c r="JWY46" s="1401"/>
      <c r="JWZ46" s="196"/>
      <c r="JXA46" s="196"/>
      <c r="JXB46" s="196"/>
      <c r="JXC46" s="196"/>
      <c r="JXD46" s="196"/>
      <c r="JXE46" s="196"/>
      <c r="JXF46" s="647"/>
      <c r="JXG46" s="196"/>
      <c r="JXH46" s="646"/>
      <c r="JXI46" s="1400"/>
      <c r="JXJ46" s="1401"/>
      <c r="JXK46" s="196"/>
      <c r="JXL46" s="196"/>
      <c r="JXM46" s="196"/>
      <c r="JXN46" s="196"/>
      <c r="JXO46" s="196"/>
      <c r="JXP46" s="196"/>
      <c r="JXQ46" s="647"/>
      <c r="JXR46" s="196"/>
      <c r="JXS46" s="646"/>
      <c r="JXT46" s="1400"/>
      <c r="JXU46" s="1401"/>
      <c r="JXV46" s="196"/>
      <c r="JXW46" s="196"/>
      <c r="JXX46" s="196"/>
      <c r="JXY46" s="196"/>
      <c r="JXZ46" s="196"/>
      <c r="JYA46" s="196"/>
      <c r="JYB46" s="647"/>
      <c r="JYC46" s="196"/>
      <c r="JYD46" s="646"/>
      <c r="JYE46" s="1400"/>
      <c r="JYF46" s="1401"/>
      <c r="JYG46" s="196"/>
      <c r="JYH46" s="196"/>
      <c r="JYI46" s="196"/>
      <c r="JYJ46" s="196"/>
      <c r="JYK46" s="196"/>
      <c r="JYL46" s="196"/>
      <c r="JYM46" s="647"/>
      <c r="JYN46" s="196"/>
      <c r="JYO46" s="646"/>
      <c r="JYP46" s="1400"/>
      <c r="JYQ46" s="1401"/>
      <c r="JYR46" s="196"/>
      <c r="JYS46" s="196"/>
      <c r="JYT46" s="196"/>
      <c r="JYU46" s="196"/>
      <c r="JYV46" s="196"/>
      <c r="JYW46" s="196"/>
      <c r="JYX46" s="647"/>
      <c r="JYY46" s="196"/>
      <c r="JYZ46" s="646"/>
      <c r="JZA46" s="1400"/>
      <c r="JZB46" s="1401"/>
      <c r="JZC46" s="196"/>
      <c r="JZD46" s="196"/>
      <c r="JZE46" s="196"/>
      <c r="JZF46" s="196"/>
      <c r="JZG46" s="196"/>
      <c r="JZH46" s="196"/>
      <c r="JZI46" s="647"/>
      <c r="JZJ46" s="196"/>
      <c r="JZK46" s="646"/>
      <c r="JZL46" s="1400"/>
      <c r="JZM46" s="1401"/>
      <c r="JZN46" s="196"/>
      <c r="JZO46" s="196"/>
      <c r="JZP46" s="196"/>
      <c r="JZQ46" s="196"/>
      <c r="JZR46" s="196"/>
      <c r="JZS46" s="196"/>
      <c r="JZT46" s="647"/>
      <c r="JZU46" s="196"/>
      <c r="JZV46" s="646"/>
      <c r="JZW46" s="1400"/>
      <c r="JZX46" s="1401"/>
      <c r="JZY46" s="196"/>
      <c r="JZZ46" s="196"/>
      <c r="KAA46" s="196"/>
      <c r="KAB46" s="196"/>
      <c r="KAC46" s="196"/>
      <c r="KAD46" s="196"/>
      <c r="KAE46" s="647"/>
      <c r="KAF46" s="196"/>
      <c r="KAG46" s="646"/>
      <c r="KAH46" s="1400"/>
      <c r="KAI46" s="1401"/>
      <c r="KAJ46" s="196"/>
      <c r="KAK46" s="196"/>
      <c r="KAL46" s="196"/>
      <c r="KAM46" s="196"/>
      <c r="KAN46" s="196"/>
      <c r="KAO46" s="196"/>
      <c r="KAP46" s="647"/>
      <c r="KAQ46" s="196"/>
      <c r="KAR46" s="646"/>
      <c r="KAS46" s="1400"/>
      <c r="KAT46" s="1401"/>
      <c r="KAU46" s="196"/>
      <c r="KAV46" s="196"/>
      <c r="KAW46" s="196"/>
      <c r="KAX46" s="196"/>
      <c r="KAY46" s="196"/>
      <c r="KAZ46" s="196"/>
      <c r="KBA46" s="647"/>
      <c r="KBB46" s="196"/>
      <c r="KBC46" s="646"/>
      <c r="KBD46" s="1400"/>
      <c r="KBE46" s="1401"/>
      <c r="KBF46" s="196"/>
      <c r="KBG46" s="196"/>
      <c r="KBH46" s="196"/>
      <c r="KBI46" s="196"/>
      <c r="KBJ46" s="196"/>
      <c r="KBK46" s="196"/>
      <c r="KBL46" s="647"/>
      <c r="KBM46" s="196"/>
      <c r="KBN46" s="646"/>
      <c r="KBO46" s="1400"/>
      <c r="KBP46" s="1401"/>
      <c r="KBQ46" s="196"/>
      <c r="KBR46" s="196"/>
      <c r="KBS46" s="196"/>
      <c r="KBT46" s="196"/>
      <c r="KBU46" s="196"/>
      <c r="KBV46" s="196"/>
      <c r="KBW46" s="647"/>
      <c r="KBX46" s="196"/>
      <c r="KBY46" s="646"/>
      <c r="KBZ46" s="1400"/>
      <c r="KCA46" s="1401"/>
      <c r="KCB46" s="196"/>
      <c r="KCC46" s="196"/>
      <c r="KCD46" s="196"/>
      <c r="KCE46" s="196"/>
      <c r="KCF46" s="196"/>
      <c r="KCG46" s="196"/>
      <c r="KCH46" s="647"/>
      <c r="KCI46" s="196"/>
      <c r="KCJ46" s="646"/>
      <c r="KCK46" s="1400"/>
      <c r="KCL46" s="1401"/>
      <c r="KCM46" s="196"/>
      <c r="KCN46" s="196"/>
      <c r="KCO46" s="196"/>
      <c r="KCP46" s="196"/>
      <c r="KCQ46" s="196"/>
      <c r="KCR46" s="196"/>
      <c r="KCS46" s="647"/>
      <c r="KCT46" s="196"/>
      <c r="KCU46" s="646"/>
      <c r="KCV46" s="1400"/>
      <c r="KCW46" s="1401"/>
      <c r="KCX46" s="196"/>
      <c r="KCY46" s="196"/>
      <c r="KCZ46" s="196"/>
      <c r="KDA46" s="196"/>
      <c r="KDB46" s="196"/>
      <c r="KDC46" s="196"/>
      <c r="KDD46" s="647"/>
      <c r="KDE46" s="196"/>
      <c r="KDF46" s="646"/>
      <c r="KDG46" s="1400"/>
      <c r="KDH46" s="1401"/>
      <c r="KDI46" s="196"/>
      <c r="KDJ46" s="196"/>
      <c r="KDK46" s="196"/>
      <c r="KDL46" s="196"/>
      <c r="KDM46" s="196"/>
      <c r="KDN46" s="196"/>
      <c r="KDO46" s="647"/>
      <c r="KDP46" s="196"/>
      <c r="KDQ46" s="646"/>
      <c r="KDR46" s="1400"/>
      <c r="KDS46" s="1401"/>
      <c r="KDT46" s="196"/>
      <c r="KDU46" s="196"/>
      <c r="KDV46" s="196"/>
      <c r="KDW46" s="196"/>
      <c r="KDX46" s="196"/>
      <c r="KDY46" s="196"/>
      <c r="KDZ46" s="647"/>
      <c r="KEA46" s="196"/>
      <c r="KEB46" s="646"/>
      <c r="KEC46" s="1400"/>
      <c r="KED46" s="1401"/>
      <c r="KEE46" s="196"/>
      <c r="KEF46" s="196"/>
      <c r="KEG46" s="196"/>
      <c r="KEH46" s="196"/>
      <c r="KEI46" s="196"/>
      <c r="KEJ46" s="196"/>
      <c r="KEK46" s="647"/>
      <c r="KEL46" s="196"/>
      <c r="KEM46" s="646"/>
      <c r="KEN46" s="1400"/>
      <c r="KEO46" s="1401"/>
      <c r="KEP46" s="196"/>
      <c r="KEQ46" s="196"/>
      <c r="KER46" s="196"/>
      <c r="KES46" s="196"/>
      <c r="KET46" s="196"/>
      <c r="KEU46" s="196"/>
      <c r="KEV46" s="647"/>
      <c r="KEW46" s="196"/>
      <c r="KEX46" s="646"/>
      <c r="KEY46" s="1400"/>
      <c r="KEZ46" s="1401"/>
      <c r="KFA46" s="196"/>
      <c r="KFB46" s="196"/>
      <c r="KFC46" s="196"/>
      <c r="KFD46" s="196"/>
      <c r="KFE46" s="196"/>
      <c r="KFF46" s="196"/>
      <c r="KFG46" s="647"/>
      <c r="KFH46" s="196"/>
      <c r="KFI46" s="646"/>
      <c r="KFJ46" s="1400"/>
      <c r="KFK46" s="1401"/>
      <c r="KFL46" s="196"/>
      <c r="KFM46" s="196"/>
      <c r="KFN46" s="196"/>
      <c r="KFO46" s="196"/>
      <c r="KFP46" s="196"/>
      <c r="KFQ46" s="196"/>
      <c r="KFR46" s="647"/>
      <c r="KFS46" s="196"/>
      <c r="KFT46" s="646"/>
      <c r="KFU46" s="1400"/>
      <c r="KFV46" s="1401"/>
      <c r="KFW46" s="196"/>
      <c r="KFX46" s="196"/>
      <c r="KFY46" s="196"/>
      <c r="KFZ46" s="196"/>
      <c r="KGA46" s="196"/>
      <c r="KGB46" s="196"/>
      <c r="KGC46" s="647"/>
      <c r="KGD46" s="196"/>
      <c r="KGE46" s="646"/>
      <c r="KGF46" s="1400"/>
      <c r="KGG46" s="1401"/>
      <c r="KGH46" s="196"/>
      <c r="KGI46" s="196"/>
      <c r="KGJ46" s="196"/>
      <c r="KGK46" s="196"/>
      <c r="KGL46" s="196"/>
      <c r="KGM46" s="196"/>
      <c r="KGN46" s="647"/>
      <c r="KGO46" s="196"/>
      <c r="KGP46" s="646"/>
      <c r="KGQ46" s="1400"/>
      <c r="KGR46" s="1401"/>
      <c r="KGS46" s="196"/>
      <c r="KGT46" s="196"/>
      <c r="KGU46" s="196"/>
      <c r="KGV46" s="196"/>
      <c r="KGW46" s="196"/>
      <c r="KGX46" s="196"/>
      <c r="KGY46" s="647"/>
      <c r="KGZ46" s="196"/>
      <c r="KHA46" s="646"/>
      <c r="KHB46" s="1400"/>
      <c r="KHC46" s="1401"/>
      <c r="KHD46" s="196"/>
      <c r="KHE46" s="196"/>
      <c r="KHF46" s="196"/>
      <c r="KHG46" s="196"/>
      <c r="KHH46" s="196"/>
      <c r="KHI46" s="196"/>
      <c r="KHJ46" s="647"/>
      <c r="KHK46" s="196"/>
      <c r="KHL46" s="646"/>
      <c r="KHM46" s="1400"/>
      <c r="KHN46" s="1401"/>
      <c r="KHO46" s="196"/>
      <c r="KHP46" s="196"/>
      <c r="KHQ46" s="196"/>
      <c r="KHR46" s="196"/>
      <c r="KHS46" s="196"/>
      <c r="KHT46" s="196"/>
      <c r="KHU46" s="647"/>
      <c r="KHV46" s="196"/>
      <c r="KHW46" s="646"/>
      <c r="KHX46" s="1400"/>
      <c r="KHY46" s="1401"/>
      <c r="KHZ46" s="196"/>
      <c r="KIA46" s="196"/>
      <c r="KIB46" s="196"/>
      <c r="KIC46" s="196"/>
      <c r="KID46" s="196"/>
      <c r="KIE46" s="196"/>
      <c r="KIF46" s="647"/>
      <c r="KIG46" s="196"/>
      <c r="KIH46" s="646"/>
      <c r="KII46" s="1400"/>
      <c r="KIJ46" s="1401"/>
      <c r="KIK46" s="196"/>
      <c r="KIL46" s="196"/>
      <c r="KIM46" s="196"/>
      <c r="KIN46" s="196"/>
      <c r="KIO46" s="196"/>
      <c r="KIP46" s="196"/>
      <c r="KIQ46" s="647"/>
      <c r="KIR46" s="196"/>
      <c r="KIS46" s="646"/>
      <c r="KIT46" s="1400"/>
      <c r="KIU46" s="1401"/>
      <c r="KIV46" s="196"/>
      <c r="KIW46" s="196"/>
      <c r="KIX46" s="196"/>
      <c r="KIY46" s="196"/>
      <c r="KIZ46" s="196"/>
      <c r="KJA46" s="196"/>
      <c r="KJB46" s="647"/>
      <c r="KJC46" s="196"/>
      <c r="KJD46" s="646"/>
      <c r="KJE46" s="1400"/>
      <c r="KJF46" s="1401"/>
      <c r="KJG46" s="196"/>
      <c r="KJH46" s="196"/>
      <c r="KJI46" s="196"/>
      <c r="KJJ46" s="196"/>
      <c r="KJK46" s="196"/>
      <c r="KJL46" s="196"/>
      <c r="KJM46" s="647"/>
      <c r="KJN46" s="196"/>
      <c r="KJO46" s="646"/>
      <c r="KJP46" s="1400"/>
      <c r="KJQ46" s="1401"/>
      <c r="KJR46" s="196"/>
      <c r="KJS46" s="196"/>
      <c r="KJT46" s="196"/>
      <c r="KJU46" s="196"/>
      <c r="KJV46" s="196"/>
      <c r="KJW46" s="196"/>
      <c r="KJX46" s="647"/>
      <c r="KJY46" s="196"/>
      <c r="KJZ46" s="646"/>
      <c r="KKA46" s="1400"/>
      <c r="KKB46" s="1401"/>
      <c r="KKC46" s="196"/>
      <c r="KKD46" s="196"/>
      <c r="KKE46" s="196"/>
      <c r="KKF46" s="196"/>
      <c r="KKG46" s="196"/>
      <c r="KKH46" s="196"/>
      <c r="KKI46" s="647"/>
      <c r="KKJ46" s="196"/>
      <c r="KKK46" s="646"/>
      <c r="KKL46" s="1400"/>
      <c r="KKM46" s="1401"/>
      <c r="KKN46" s="196"/>
      <c r="KKO46" s="196"/>
      <c r="KKP46" s="196"/>
      <c r="KKQ46" s="196"/>
      <c r="KKR46" s="196"/>
      <c r="KKS46" s="196"/>
      <c r="KKT46" s="647"/>
      <c r="KKU46" s="196"/>
      <c r="KKV46" s="646"/>
      <c r="KKW46" s="1400"/>
      <c r="KKX46" s="1401"/>
      <c r="KKY46" s="196"/>
      <c r="KKZ46" s="196"/>
      <c r="KLA46" s="196"/>
      <c r="KLB46" s="196"/>
      <c r="KLC46" s="196"/>
      <c r="KLD46" s="196"/>
      <c r="KLE46" s="647"/>
      <c r="KLF46" s="196"/>
      <c r="KLG46" s="646"/>
      <c r="KLH46" s="1400"/>
      <c r="KLI46" s="1401"/>
      <c r="KLJ46" s="196"/>
      <c r="KLK46" s="196"/>
      <c r="KLL46" s="196"/>
      <c r="KLM46" s="196"/>
      <c r="KLN46" s="196"/>
      <c r="KLO46" s="196"/>
      <c r="KLP46" s="647"/>
      <c r="KLQ46" s="196"/>
      <c r="KLR46" s="646"/>
      <c r="KLS46" s="1400"/>
      <c r="KLT46" s="1401"/>
      <c r="KLU46" s="196"/>
      <c r="KLV46" s="196"/>
      <c r="KLW46" s="196"/>
      <c r="KLX46" s="196"/>
      <c r="KLY46" s="196"/>
      <c r="KLZ46" s="196"/>
      <c r="KMA46" s="647"/>
      <c r="KMB46" s="196"/>
      <c r="KMC46" s="646"/>
      <c r="KMD46" s="1400"/>
      <c r="KME46" s="1401"/>
      <c r="KMF46" s="196"/>
      <c r="KMG46" s="196"/>
      <c r="KMH46" s="196"/>
      <c r="KMI46" s="196"/>
      <c r="KMJ46" s="196"/>
      <c r="KMK46" s="196"/>
      <c r="KML46" s="647"/>
      <c r="KMM46" s="196"/>
      <c r="KMN46" s="646"/>
      <c r="KMO46" s="1400"/>
      <c r="KMP46" s="1401"/>
      <c r="KMQ46" s="196"/>
      <c r="KMR46" s="196"/>
      <c r="KMS46" s="196"/>
      <c r="KMT46" s="196"/>
      <c r="KMU46" s="196"/>
      <c r="KMV46" s="196"/>
      <c r="KMW46" s="647"/>
      <c r="KMX46" s="196"/>
      <c r="KMY46" s="646"/>
      <c r="KMZ46" s="1400"/>
      <c r="KNA46" s="1401"/>
      <c r="KNB46" s="196"/>
      <c r="KNC46" s="196"/>
      <c r="KND46" s="196"/>
      <c r="KNE46" s="196"/>
      <c r="KNF46" s="196"/>
      <c r="KNG46" s="196"/>
      <c r="KNH46" s="647"/>
      <c r="KNI46" s="196"/>
      <c r="KNJ46" s="646"/>
      <c r="KNK46" s="1400"/>
      <c r="KNL46" s="1401"/>
      <c r="KNM46" s="196"/>
      <c r="KNN46" s="196"/>
      <c r="KNO46" s="196"/>
      <c r="KNP46" s="196"/>
      <c r="KNQ46" s="196"/>
      <c r="KNR46" s="196"/>
      <c r="KNS46" s="647"/>
      <c r="KNT46" s="196"/>
      <c r="KNU46" s="646"/>
      <c r="KNV46" s="1400"/>
      <c r="KNW46" s="1401"/>
      <c r="KNX46" s="196"/>
      <c r="KNY46" s="196"/>
      <c r="KNZ46" s="196"/>
      <c r="KOA46" s="196"/>
      <c r="KOB46" s="196"/>
      <c r="KOC46" s="196"/>
      <c r="KOD46" s="647"/>
      <c r="KOE46" s="196"/>
      <c r="KOF46" s="646"/>
      <c r="KOG46" s="1400"/>
      <c r="KOH46" s="1401"/>
      <c r="KOI46" s="196"/>
      <c r="KOJ46" s="196"/>
      <c r="KOK46" s="196"/>
      <c r="KOL46" s="196"/>
      <c r="KOM46" s="196"/>
      <c r="KON46" s="196"/>
      <c r="KOO46" s="647"/>
      <c r="KOP46" s="196"/>
      <c r="KOQ46" s="646"/>
      <c r="KOR46" s="1400"/>
      <c r="KOS46" s="1401"/>
      <c r="KOT46" s="196"/>
      <c r="KOU46" s="196"/>
      <c r="KOV46" s="196"/>
      <c r="KOW46" s="196"/>
      <c r="KOX46" s="196"/>
      <c r="KOY46" s="196"/>
      <c r="KOZ46" s="647"/>
      <c r="KPA46" s="196"/>
      <c r="KPB46" s="646"/>
      <c r="KPC46" s="1400"/>
      <c r="KPD46" s="1401"/>
      <c r="KPE46" s="196"/>
      <c r="KPF46" s="196"/>
      <c r="KPG46" s="196"/>
      <c r="KPH46" s="196"/>
      <c r="KPI46" s="196"/>
      <c r="KPJ46" s="196"/>
      <c r="KPK46" s="647"/>
      <c r="KPL46" s="196"/>
      <c r="KPM46" s="646"/>
      <c r="KPN46" s="1400"/>
      <c r="KPO46" s="1401"/>
      <c r="KPP46" s="196"/>
      <c r="KPQ46" s="196"/>
      <c r="KPR46" s="196"/>
      <c r="KPS46" s="196"/>
      <c r="KPT46" s="196"/>
      <c r="KPU46" s="196"/>
      <c r="KPV46" s="647"/>
      <c r="KPW46" s="196"/>
      <c r="KPX46" s="646"/>
      <c r="KPY46" s="1400"/>
      <c r="KPZ46" s="1401"/>
      <c r="KQA46" s="196"/>
      <c r="KQB46" s="196"/>
      <c r="KQC46" s="196"/>
      <c r="KQD46" s="196"/>
      <c r="KQE46" s="196"/>
      <c r="KQF46" s="196"/>
      <c r="KQG46" s="647"/>
      <c r="KQH46" s="196"/>
      <c r="KQI46" s="646"/>
      <c r="KQJ46" s="1400"/>
      <c r="KQK46" s="1401"/>
      <c r="KQL46" s="196"/>
      <c r="KQM46" s="196"/>
      <c r="KQN46" s="196"/>
      <c r="KQO46" s="196"/>
      <c r="KQP46" s="196"/>
      <c r="KQQ46" s="196"/>
      <c r="KQR46" s="647"/>
      <c r="KQS46" s="196"/>
      <c r="KQT46" s="646"/>
      <c r="KQU46" s="1400"/>
      <c r="KQV46" s="1401"/>
      <c r="KQW46" s="196"/>
      <c r="KQX46" s="196"/>
      <c r="KQY46" s="196"/>
      <c r="KQZ46" s="196"/>
      <c r="KRA46" s="196"/>
      <c r="KRB46" s="196"/>
      <c r="KRC46" s="647"/>
      <c r="KRD46" s="196"/>
      <c r="KRE46" s="646"/>
      <c r="KRF46" s="1400"/>
      <c r="KRG46" s="1401"/>
      <c r="KRH46" s="196"/>
      <c r="KRI46" s="196"/>
      <c r="KRJ46" s="196"/>
      <c r="KRK46" s="196"/>
      <c r="KRL46" s="196"/>
      <c r="KRM46" s="196"/>
      <c r="KRN46" s="647"/>
      <c r="KRO46" s="196"/>
      <c r="KRP46" s="646"/>
      <c r="KRQ46" s="1400"/>
      <c r="KRR46" s="1401"/>
      <c r="KRS46" s="196"/>
      <c r="KRT46" s="196"/>
      <c r="KRU46" s="196"/>
      <c r="KRV46" s="196"/>
      <c r="KRW46" s="196"/>
      <c r="KRX46" s="196"/>
      <c r="KRY46" s="647"/>
      <c r="KRZ46" s="196"/>
      <c r="KSA46" s="646"/>
      <c r="KSB46" s="1400"/>
      <c r="KSC46" s="1401"/>
      <c r="KSD46" s="196"/>
      <c r="KSE46" s="196"/>
      <c r="KSF46" s="196"/>
      <c r="KSG46" s="196"/>
      <c r="KSH46" s="196"/>
      <c r="KSI46" s="196"/>
      <c r="KSJ46" s="647"/>
      <c r="KSK46" s="196"/>
      <c r="KSL46" s="646"/>
      <c r="KSM46" s="1400"/>
      <c r="KSN46" s="1401"/>
      <c r="KSO46" s="196"/>
      <c r="KSP46" s="196"/>
      <c r="KSQ46" s="196"/>
      <c r="KSR46" s="196"/>
      <c r="KSS46" s="196"/>
      <c r="KST46" s="196"/>
      <c r="KSU46" s="647"/>
      <c r="KSV46" s="196"/>
      <c r="KSW46" s="646"/>
      <c r="KSX46" s="1400"/>
      <c r="KSY46" s="1401"/>
      <c r="KSZ46" s="196"/>
      <c r="KTA46" s="196"/>
      <c r="KTB46" s="196"/>
      <c r="KTC46" s="196"/>
      <c r="KTD46" s="196"/>
      <c r="KTE46" s="196"/>
      <c r="KTF46" s="647"/>
      <c r="KTG46" s="196"/>
      <c r="KTH46" s="646"/>
      <c r="KTI46" s="1400"/>
      <c r="KTJ46" s="1401"/>
      <c r="KTK46" s="196"/>
      <c r="KTL46" s="196"/>
      <c r="KTM46" s="196"/>
      <c r="KTN46" s="196"/>
      <c r="KTO46" s="196"/>
      <c r="KTP46" s="196"/>
      <c r="KTQ46" s="647"/>
      <c r="KTR46" s="196"/>
      <c r="KTS46" s="646"/>
      <c r="KTT46" s="1400"/>
      <c r="KTU46" s="1401"/>
      <c r="KTV46" s="196"/>
      <c r="KTW46" s="196"/>
      <c r="KTX46" s="196"/>
      <c r="KTY46" s="196"/>
      <c r="KTZ46" s="196"/>
      <c r="KUA46" s="196"/>
      <c r="KUB46" s="647"/>
      <c r="KUC46" s="196"/>
      <c r="KUD46" s="646"/>
      <c r="KUE46" s="1400"/>
      <c r="KUF46" s="1401"/>
      <c r="KUG46" s="196"/>
      <c r="KUH46" s="196"/>
      <c r="KUI46" s="196"/>
      <c r="KUJ46" s="196"/>
      <c r="KUK46" s="196"/>
      <c r="KUL46" s="196"/>
      <c r="KUM46" s="647"/>
      <c r="KUN46" s="196"/>
      <c r="KUO46" s="646"/>
      <c r="KUP46" s="1400"/>
      <c r="KUQ46" s="1401"/>
      <c r="KUR46" s="196"/>
      <c r="KUS46" s="196"/>
      <c r="KUT46" s="196"/>
      <c r="KUU46" s="196"/>
      <c r="KUV46" s="196"/>
      <c r="KUW46" s="196"/>
      <c r="KUX46" s="647"/>
      <c r="KUY46" s="196"/>
      <c r="KUZ46" s="646"/>
      <c r="KVA46" s="1400"/>
      <c r="KVB46" s="1401"/>
      <c r="KVC46" s="196"/>
      <c r="KVD46" s="196"/>
      <c r="KVE46" s="196"/>
      <c r="KVF46" s="196"/>
      <c r="KVG46" s="196"/>
      <c r="KVH46" s="196"/>
      <c r="KVI46" s="647"/>
      <c r="KVJ46" s="196"/>
      <c r="KVK46" s="646"/>
      <c r="KVL46" s="1400"/>
      <c r="KVM46" s="1401"/>
      <c r="KVN46" s="196"/>
      <c r="KVO46" s="196"/>
      <c r="KVP46" s="196"/>
      <c r="KVQ46" s="196"/>
      <c r="KVR46" s="196"/>
      <c r="KVS46" s="196"/>
      <c r="KVT46" s="647"/>
      <c r="KVU46" s="196"/>
      <c r="KVV46" s="646"/>
      <c r="KVW46" s="1400"/>
      <c r="KVX46" s="1401"/>
      <c r="KVY46" s="196"/>
      <c r="KVZ46" s="196"/>
      <c r="KWA46" s="196"/>
      <c r="KWB46" s="196"/>
      <c r="KWC46" s="196"/>
      <c r="KWD46" s="196"/>
      <c r="KWE46" s="647"/>
      <c r="KWF46" s="196"/>
      <c r="KWG46" s="646"/>
      <c r="KWH46" s="1400"/>
      <c r="KWI46" s="1401"/>
      <c r="KWJ46" s="196"/>
      <c r="KWK46" s="196"/>
      <c r="KWL46" s="196"/>
      <c r="KWM46" s="196"/>
      <c r="KWN46" s="196"/>
      <c r="KWO46" s="196"/>
      <c r="KWP46" s="647"/>
      <c r="KWQ46" s="196"/>
      <c r="KWR46" s="646"/>
      <c r="KWS46" s="1400"/>
      <c r="KWT46" s="1401"/>
      <c r="KWU46" s="196"/>
      <c r="KWV46" s="196"/>
      <c r="KWW46" s="196"/>
      <c r="KWX46" s="196"/>
      <c r="KWY46" s="196"/>
      <c r="KWZ46" s="196"/>
      <c r="KXA46" s="647"/>
      <c r="KXB46" s="196"/>
      <c r="KXC46" s="646"/>
      <c r="KXD46" s="1400"/>
      <c r="KXE46" s="1401"/>
      <c r="KXF46" s="196"/>
      <c r="KXG46" s="196"/>
      <c r="KXH46" s="196"/>
      <c r="KXI46" s="196"/>
      <c r="KXJ46" s="196"/>
      <c r="KXK46" s="196"/>
      <c r="KXL46" s="647"/>
      <c r="KXM46" s="196"/>
      <c r="KXN46" s="646"/>
      <c r="KXO46" s="1400"/>
      <c r="KXP46" s="1401"/>
      <c r="KXQ46" s="196"/>
      <c r="KXR46" s="196"/>
      <c r="KXS46" s="196"/>
      <c r="KXT46" s="196"/>
      <c r="KXU46" s="196"/>
      <c r="KXV46" s="196"/>
      <c r="KXW46" s="647"/>
      <c r="KXX46" s="196"/>
      <c r="KXY46" s="646"/>
      <c r="KXZ46" s="1400"/>
      <c r="KYA46" s="1401"/>
      <c r="KYB46" s="196"/>
      <c r="KYC46" s="196"/>
      <c r="KYD46" s="196"/>
      <c r="KYE46" s="196"/>
      <c r="KYF46" s="196"/>
      <c r="KYG46" s="196"/>
      <c r="KYH46" s="647"/>
      <c r="KYI46" s="196"/>
      <c r="KYJ46" s="646"/>
      <c r="KYK46" s="1400"/>
      <c r="KYL46" s="1401"/>
      <c r="KYM46" s="196"/>
      <c r="KYN46" s="196"/>
      <c r="KYO46" s="196"/>
      <c r="KYP46" s="196"/>
      <c r="KYQ46" s="196"/>
      <c r="KYR46" s="196"/>
      <c r="KYS46" s="647"/>
      <c r="KYT46" s="196"/>
      <c r="KYU46" s="646"/>
      <c r="KYV46" s="1400"/>
      <c r="KYW46" s="1401"/>
      <c r="KYX46" s="196"/>
      <c r="KYY46" s="196"/>
      <c r="KYZ46" s="196"/>
      <c r="KZA46" s="196"/>
      <c r="KZB46" s="196"/>
      <c r="KZC46" s="196"/>
      <c r="KZD46" s="647"/>
      <c r="KZE46" s="196"/>
      <c r="KZF46" s="646"/>
      <c r="KZG46" s="1400"/>
      <c r="KZH46" s="1401"/>
      <c r="KZI46" s="196"/>
      <c r="KZJ46" s="196"/>
      <c r="KZK46" s="196"/>
      <c r="KZL46" s="196"/>
      <c r="KZM46" s="196"/>
      <c r="KZN46" s="196"/>
      <c r="KZO46" s="647"/>
      <c r="KZP46" s="196"/>
      <c r="KZQ46" s="646"/>
      <c r="KZR46" s="1400"/>
      <c r="KZS46" s="1401"/>
      <c r="KZT46" s="196"/>
      <c r="KZU46" s="196"/>
      <c r="KZV46" s="196"/>
      <c r="KZW46" s="196"/>
      <c r="KZX46" s="196"/>
      <c r="KZY46" s="196"/>
      <c r="KZZ46" s="647"/>
      <c r="LAA46" s="196"/>
      <c r="LAB46" s="646"/>
      <c r="LAC46" s="1400"/>
      <c r="LAD46" s="1401"/>
      <c r="LAE46" s="196"/>
      <c r="LAF46" s="196"/>
      <c r="LAG46" s="196"/>
      <c r="LAH46" s="196"/>
      <c r="LAI46" s="196"/>
      <c r="LAJ46" s="196"/>
      <c r="LAK46" s="647"/>
      <c r="LAL46" s="196"/>
      <c r="LAM46" s="646"/>
      <c r="LAN46" s="1400"/>
      <c r="LAO46" s="1401"/>
      <c r="LAP46" s="196"/>
      <c r="LAQ46" s="196"/>
      <c r="LAR46" s="196"/>
      <c r="LAS46" s="196"/>
      <c r="LAT46" s="196"/>
      <c r="LAU46" s="196"/>
      <c r="LAV46" s="647"/>
      <c r="LAW46" s="196"/>
      <c r="LAX46" s="646"/>
      <c r="LAY46" s="1400"/>
      <c r="LAZ46" s="1401"/>
      <c r="LBA46" s="196"/>
      <c r="LBB46" s="196"/>
      <c r="LBC46" s="196"/>
      <c r="LBD46" s="196"/>
      <c r="LBE46" s="196"/>
      <c r="LBF46" s="196"/>
      <c r="LBG46" s="647"/>
      <c r="LBH46" s="196"/>
      <c r="LBI46" s="646"/>
      <c r="LBJ46" s="1400"/>
      <c r="LBK46" s="1401"/>
      <c r="LBL46" s="196"/>
      <c r="LBM46" s="196"/>
      <c r="LBN46" s="196"/>
      <c r="LBO46" s="196"/>
      <c r="LBP46" s="196"/>
      <c r="LBQ46" s="196"/>
      <c r="LBR46" s="647"/>
      <c r="LBS46" s="196"/>
      <c r="LBT46" s="646"/>
      <c r="LBU46" s="1400"/>
      <c r="LBV46" s="1401"/>
      <c r="LBW46" s="196"/>
      <c r="LBX46" s="196"/>
      <c r="LBY46" s="196"/>
      <c r="LBZ46" s="196"/>
      <c r="LCA46" s="196"/>
      <c r="LCB46" s="196"/>
      <c r="LCC46" s="647"/>
      <c r="LCD46" s="196"/>
      <c r="LCE46" s="646"/>
      <c r="LCF46" s="1400"/>
      <c r="LCG46" s="1401"/>
      <c r="LCH46" s="196"/>
      <c r="LCI46" s="196"/>
      <c r="LCJ46" s="196"/>
      <c r="LCK46" s="196"/>
      <c r="LCL46" s="196"/>
      <c r="LCM46" s="196"/>
      <c r="LCN46" s="647"/>
      <c r="LCO46" s="196"/>
      <c r="LCP46" s="646"/>
      <c r="LCQ46" s="1400"/>
      <c r="LCR46" s="1401"/>
      <c r="LCS46" s="196"/>
      <c r="LCT46" s="196"/>
      <c r="LCU46" s="196"/>
      <c r="LCV46" s="196"/>
      <c r="LCW46" s="196"/>
      <c r="LCX46" s="196"/>
      <c r="LCY46" s="647"/>
      <c r="LCZ46" s="196"/>
      <c r="LDA46" s="646"/>
      <c r="LDB46" s="1400"/>
      <c r="LDC46" s="1401"/>
      <c r="LDD46" s="196"/>
      <c r="LDE46" s="196"/>
      <c r="LDF46" s="196"/>
      <c r="LDG46" s="196"/>
      <c r="LDH46" s="196"/>
      <c r="LDI46" s="196"/>
      <c r="LDJ46" s="647"/>
      <c r="LDK46" s="196"/>
      <c r="LDL46" s="646"/>
      <c r="LDM46" s="1400"/>
      <c r="LDN46" s="1401"/>
      <c r="LDO46" s="196"/>
      <c r="LDP46" s="196"/>
      <c r="LDQ46" s="196"/>
      <c r="LDR46" s="196"/>
      <c r="LDS46" s="196"/>
      <c r="LDT46" s="196"/>
      <c r="LDU46" s="647"/>
      <c r="LDV46" s="196"/>
      <c r="LDW46" s="646"/>
      <c r="LDX46" s="1400"/>
      <c r="LDY46" s="1401"/>
      <c r="LDZ46" s="196"/>
      <c r="LEA46" s="196"/>
      <c r="LEB46" s="196"/>
      <c r="LEC46" s="196"/>
      <c r="LED46" s="196"/>
      <c r="LEE46" s="196"/>
      <c r="LEF46" s="647"/>
      <c r="LEG46" s="196"/>
      <c r="LEH46" s="646"/>
      <c r="LEI46" s="1400"/>
      <c r="LEJ46" s="1401"/>
      <c r="LEK46" s="196"/>
      <c r="LEL46" s="196"/>
      <c r="LEM46" s="196"/>
      <c r="LEN46" s="196"/>
      <c r="LEO46" s="196"/>
      <c r="LEP46" s="196"/>
      <c r="LEQ46" s="647"/>
      <c r="LER46" s="196"/>
      <c r="LES46" s="646"/>
      <c r="LET46" s="1400"/>
      <c r="LEU46" s="1401"/>
      <c r="LEV46" s="196"/>
      <c r="LEW46" s="196"/>
      <c r="LEX46" s="196"/>
      <c r="LEY46" s="196"/>
      <c r="LEZ46" s="196"/>
      <c r="LFA46" s="196"/>
      <c r="LFB46" s="647"/>
      <c r="LFC46" s="196"/>
      <c r="LFD46" s="646"/>
      <c r="LFE46" s="1400"/>
      <c r="LFF46" s="1401"/>
      <c r="LFG46" s="196"/>
      <c r="LFH46" s="196"/>
      <c r="LFI46" s="196"/>
      <c r="LFJ46" s="196"/>
      <c r="LFK46" s="196"/>
      <c r="LFL46" s="196"/>
      <c r="LFM46" s="647"/>
      <c r="LFN46" s="196"/>
      <c r="LFO46" s="646"/>
      <c r="LFP46" s="1400"/>
      <c r="LFQ46" s="1401"/>
      <c r="LFR46" s="196"/>
      <c r="LFS46" s="196"/>
      <c r="LFT46" s="196"/>
      <c r="LFU46" s="196"/>
      <c r="LFV46" s="196"/>
      <c r="LFW46" s="196"/>
      <c r="LFX46" s="647"/>
      <c r="LFY46" s="196"/>
      <c r="LFZ46" s="646"/>
      <c r="LGA46" s="1400"/>
      <c r="LGB46" s="1401"/>
      <c r="LGC46" s="196"/>
      <c r="LGD46" s="196"/>
      <c r="LGE46" s="196"/>
      <c r="LGF46" s="196"/>
      <c r="LGG46" s="196"/>
      <c r="LGH46" s="196"/>
      <c r="LGI46" s="647"/>
      <c r="LGJ46" s="196"/>
      <c r="LGK46" s="646"/>
      <c r="LGL46" s="1400"/>
      <c r="LGM46" s="1401"/>
      <c r="LGN46" s="196"/>
      <c r="LGO46" s="196"/>
      <c r="LGP46" s="196"/>
      <c r="LGQ46" s="196"/>
      <c r="LGR46" s="196"/>
      <c r="LGS46" s="196"/>
      <c r="LGT46" s="647"/>
      <c r="LGU46" s="196"/>
      <c r="LGV46" s="646"/>
      <c r="LGW46" s="1400"/>
      <c r="LGX46" s="1401"/>
      <c r="LGY46" s="196"/>
      <c r="LGZ46" s="196"/>
      <c r="LHA46" s="196"/>
      <c r="LHB46" s="196"/>
      <c r="LHC46" s="196"/>
      <c r="LHD46" s="196"/>
      <c r="LHE46" s="647"/>
      <c r="LHF46" s="196"/>
      <c r="LHG46" s="646"/>
      <c r="LHH46" s="1400"/>
      <c r="LHI46" s="1401"/>
      <c r="LHJ46" s="196"/>
      <c r="LHK46" s="196"/>
      <c r="LHL46" s="196"/>
      <c r="LHM46" s="196"/>
      <c r="LHN46" s="196"/>
      <c r="LHO46" s="196"/>
      <c r="LHP46" s="647"/>
      <c r="LHQ46" s="196"/>
      <c r="LHR46" s="646"/>
      <c r="LHS46" s="1400"/>
      <c r="LHT46" s="1401"/>
      <c r="LHU46" s="196"/>
      <c r="LHV46" s="196"/>
      <c r="LHW46" s="196"/>
      <c r="LHX46" s="196"/>
      <c r="LHY46" s="196"/>
      <c r="LHZ46" s="196"/>
      <c r="LIA46" s="647"/>
      <c r="LIB46" s="196"/>
      <c r="LIC46" s="646"/>
      <c r="LID46" s="1400"/>
      <c r="LIE46" s="1401"/>
      <c r="LIF46" s="196"/>
      <c r="LIG46" s="196"/>
      <c r="LIH46" s="196"/>
      <c r="LII46" s="196"/>
      <c r="LIJ46" s="196"/>
      <c r="LIK46" s="196"/>
      <c r="LIL46" s="647"/>
      <c r="LIM46" s="196"/>
      <c r="LIN46" s="646"/>
      <c r="LIO46" s="1400"/>
      <c r="LIP46" s="1401"/>
      <c r="LIQ46" s="196"/>
      <c r="LIR46" s="196"/>
      <c r="LIS46" s="196"/>
      <c r="LIT46" s="196"/>
      <c r="LIU46" s="196"/>
      <c r="LIV46" s="196"/>
      <c r="LIW46" s="647"/>
      <c r="LIX46" s="196"/>
      <c r="LIY46" s="646"/>
      <c r="LIZ46" s="1400"/>
      <c r="LJA46" s="1401"/>
      <c r="LJB46" s="196"/>
      <c r="LJC46" s="196"/>
      <c r="LJD46" s="196"/>
      <c r="LJE46" s="196"/>
      <c r="LJF46" s="196"/>
      <c r="LJG46" s="196"/>
      <c r="LJH46" s="647"/>
      <c r="LJI46" s="196"/>
      <c r="LJJ46" s="646"/>
      <c r="LJK46" s="1400"/>
      <c r="LJL46" s="1401"/>
      <c r="LJM46" s="196"/>
      <c r="LJN46" s="196"/>
      <c r="LJO46" s="196"/>
      <c r="LJP46" s="196"/>
      <c r="LJQ46" s="196"/>
      <c r="LJR46" s="196"/>
      <c r="LJS46" s="647"/>
      <c r="LJT46" s="196"/>
      <c r="LJU46" s="646"/>
      <c r="LJV46" s="1400"/>
      <c r="LJW46" s="1401"/>
      <c r="LJX46" s="196"/>
      <c r="LJY46" s="196"/>
      <c r="LJZ46" s="196"/>
      <c r="LKA46" s="196"/>
      <c r="LKB46" s="196"/>
      <c r="LKC46" s="196"/>
      <c r="LKD46" s="647"/>
      <c r="LKE46" s="196"/>
      <c r="LKF46" s="646"/>
      <c r="LKG46" s="1400"/>
      <c r="LKH46" s="1401"/>
      <c r="LKI46" s="196"/>
      <c r="LKJ46" s="196"/>
      <c r="LKK46" s="196"/>
      <c r="LKL46" s="196"/>
      <c r="LKM46" s="196"/>
      <c r="LKN46" s="196"/>
      <c r="LKO46" s="647"/>
      <c r="LKP46" s="196"/>
      <c r="LKQ46" s="646"/>
      <c r="LKR46" s="1400"/>
      <c r="LKS46" s="1401"/>
      <c r="LKT46" s="196"/>
      <c r="LKU46" s="196"/>
      <c r="LKV46" s="196"/>
      <c r="LKW46" s="196"/>
      <c r="LKX46" s="196"/>
      <c r="LKY46" s="196"/>
      <c r="LKZ46" s="647"/>
      <c r="LLA46" s="196"/>
      <c r="LLB46" s="646"/>
      <c r="LLC46" s="1400"/>
      <c r="LLD46" s="1401"/>
      <c r="LLE46" s="196"/>
      <c r="LLF46" s="196"/>
      <c r="LLG46" s="196"/>
      <c r="LLH46" s="196"/>
      <c r="LLI46" s="196"/>
      <c r="LLJ46" s="196"/>
      <c r="LLK46" s="647"/>
      <c r="LLL46" s="196"/>
      <c r="LLM46" s="646"/>
      <c r="LLN46" s="1400"/>
      <c r="LLO46" s="1401"/>
      <c r="LLP46" s="196"/>
      <c r="LLQ46" s="196"/>
      <c r="LLR46" s="196"/>
      <c r="LLS46" s="196"/>
      <c r="LLT46" s="196"/>
      <c r="LLU46" s="196"/>
      <c r="LLV46" s="647"/>
      <c r="LLW46" s="196"/>
      <c r="LLX46" s="646"/>
      <c r="LLY46" s="1400"/>
      <c r="LLZ46" s="1401"/>
      <c r="LMA46" s="196"/>
      <c r="LMB46" s="196"/>
      <c r="LMC46" s="196"/>
      <c r="LMD46" s="196"/>
      <c r="LME46" s="196"/>
      <c r="LMF46" s="196"/>
      <c r="LMG46" s="647"/>
      <c r="LMH46" s="196"/>
      <c r="LMI46" s="646"/>
      <c r="LMJ46" s="1400"/>
      <c r="LMK46" s="1401"/>
      <c r="LML46" s="196"/>
      <c r="LMM46" s="196"/>
      <c r="LMN46" s="196"/>
      <c r="LMO46" s="196"/>
      <c r="LMP46" s="196"/>
      <c r="LMQ46" s="196"/>
      <c r="LMR46" s="647"/>
      <c r="LMS46" s="196"/>
      <c r="LMT46" s="646"/>
      <c r="LMU46" s="1400"/>
      <c r="LMV46" s="1401"/>
      <c r="LMW46" s="196"/>
      <c r="LMX46" s="196"/>
      <c r="LMY46" s="196"/>
      <c r="LMZ46" s="196"/>
      <c r="LNA46" s="196"/>
      <c r="LNB46" s="196"/>
      <c r="LNC46" s="647"/>
      <c r="LND46" s="196"/>
      <c r="LNE46" s="646"/>
      <c r="LNF46" s="1400"/>
      <c r="LNG46" s="1401"/>
      <c r="LNH46" s="196"/>
      <c r="LNI46" s="196"/>
      <c r="LNJ46" s="196"/>
      <c r="LNK46" s="196"/>
      <c r="LNL46" s="196"/>
      <c r="LNM46" s="196"/>
      <c r="LNN46" s="647"/>
      <c r="LNO46" s="196"/>
      <c r="LNP46" s="646"/>
      <c r="LNQ46" s="1400"/>
      <c r="LNR46" s="1401"/>
      <c r="LNS46" s="196"/>
      <c r="LNT46" s="196"/>
      <c r="LNU46" s="196"/>
      <c r="LNV46" s="196"/>
      <c r="LNW46" s="196"/>
      <c r="LNX46" s="196"/>
      <c r="LNY46" s="647"/>
      <c r="LNZ46" s="196"/>
      <c r="LOA46" s="646"/>
      <c r="LOB46" s="1400"/>
      <c r="LOC46" s="1401"/>
      <c r="LOD46" s="196"/>
      <c r="LOE46" s="196"/>
      <c r="LOF46" s="196"/>
      <c r="LOG46" s="196"/>
      <c r="LOH46" s="196"/>
      <c r="LOI46" s="196"/>
      <c r="LOJ46" s="647"/>
      <c r="LOK46" s="196"/>
      <c r="LOL46" s="646"/>
      <c r="LOM46" s="1400"/>
      <c r="LON46" s="1401"/>
      <c r="LOO46" s="196"/>
      <c r="LOP46" s="196"/>
      <c r="LOQ46" s="196"/>
      <c r="LOR46" s="196"/>
      <c r="LOS46" s="196"/>
      <c r="LOT46" s="196"/>
      <c r="LOU46" s="647"/>
      <c r="LOV46" s="196"/>
      <c r="LOW46" s="646"/>
      <c r="LOX46" s="1400"/>
      <c r="LOY46" s="1401"/>
      <c r="LOZ46" s="196"/>
      <c r="LPA46" s="196"/>
      <c r="LPB46" s="196"/>
      <c r="LPC46" s="196"/>
      <c r="LPD46" s="196"/>
      <c r="LPE46" s="196"/>
      <c r="LPF46" s="647"/>
      <c r="LPG46" s="196"/>
      <c r="LPH46" s="646"/>
      <c r="LPI46" s="1400"/>
      <c r="LPJ46" s="1401"/>
      <c r="LPK46" s="196"/>
      <c r="LPL46" s="196"/>
      <c r="LPM46" s="196"/>
      <c r="LPN46" s="196"/>
      <c r="LPO46" s="196"/>
      <c r="LPP46" s="196"/>
      <c r="LPQ46" s="647"/>
      <c r="LPR46" s="196"/>
      <c r="LPS46" s="646"/>
      <c r="LPT46" s="1400"/>
      <c r="LPU46" s="1401"/>
      <c r="LPV46" s="196"/>
      <c r="LPW46" s="196"/>
      <c r="LPX46" s="196"/>
      <c r="LPY46" s="196"/>
      <c r="LPZ46" s="196"/>
      <c r="LQA46" s="196"/>
      <c r="LQB46" s="647"/>
      <c r="LQC46" s="196"/>
      <c r="LQD46" s="646"/>
      <c r="LQE46" s="1400"/>
      <c r="LQF46" s="1401"/>
      <c r="LQG46" s="196"/>
      <c r="LQH46" s="196"/>
      <c r="LQI46" s="196"/>
      <c r="LQJ46" s="196"/>
      <c r="LQK46" s="196"/>
      <c r="LQL46" s="196"/>
      <c r="LQM46" s="647"/>
      <c r="LQN46" s="196"/>
      <c r="LQO46" s="646"/>
      <c r="LQP46" s="1400"/>
      <c r="LQQ46" s="1401"/>
      <c r="LQR46" s="196"/>
      <c r="LQS46" s="196"/>
      <c r="LQT46" s="196"/>
      <c r="LQU46" s="196"/>
      <c r="LQV46" s="196"/>
      <c r="LQW46" s="196"/>
      <c r="LQX46" s="647"/>
      <c r="LQY46" s="196"/>
      <c r="LQZ46" s="646"/>
      <c r="LRA46" s="1400"/>
      <c r="LRB46" s="1401"/>
      <c r="LRC46" s="196"/>
      <c r="LRD46" s="196"/>
      <c r="LRE46" s="196"/>
      <c r="LRF46" s="196"/>
      <c r="LRG46" s="196"/>
      <c r="LRH46" s="196"/>
      <c r="LRI46" s="647"/>
      <c r="LRJ46" s="196"/>
      <c r="LRK46" s="646"/>
      <c r="LRL46" s="1400"/>
      <c r="LRM46" s="1401"/>
      <c r="LRN46" s="196"/>
      <c r="LRO46" s="196"/>
      <c r="LRP46" s="196"/>
      <c r="LRQ46" s="196"/>
      <c r="LRR46" s="196"/>
      <c r="LRS46" s="196"/>
      <c r="LRT46" s="647"/>
      <c r="LRU46" s="196"/>
      <c r="LRV46" s="646"/>
      <c r="LRW46" s="1400"/>
      <c r="LRX46" s="1401"/>
      <c r="LRY46" s="196"/>
      <c r="LRZ46" s="196"/>
      <c r="LSA46" s="196"/>
      <c r="LSB46" s="196"/>
      <c r="LSC46" s="196"/>
      <c r="LSD46" s="196"/>
      <c r="LSE46" s="647"/>
      <c r="LSF46" s="196"/>
      <c r="LSG46" s="646"/>
      <c r="LSH46" s="1400"/>
      <c r="LSI46" s="1401"/>
      <c r="LSJ46" s="196"/>
      <c r="LSK46" s="196"/>
      <c r="LSL46" s="196"/>
      <c r="LSM46" s="196"/>
      <c r="LSN46" s="196"/>
      <c r="LSO46" s="196"/>
      <c r="LSP46" s="647"/>
      <c r="LSQ46" s="196"/>
      <c r="LSR46" s="646"/>
      <c r="LSS46" s="1400"/>
      <c r="LST46" s="1401"/>
      <c r="LSU46" s="196"/>
      <c r="LSV46" s="196"/>
      <c r="LSW46" s="196"/>
      <c r="LSX46" s="196"/>
      <c r="LSY46" s="196"/>
      <c r="LSZ46" s="196"/>
      <c r="LTA46" s="647"/>
      <c r="LTB46" s="196"/>
      <c r="LTC46" s="646"/>
      <c r="LTD46" s="1400"/>
      <c r="LTE46" s="1401"/>
      <c r="LTF46" s="196"/>
      <c r="LTG46" s="196"/>
      <c r="LTH46" s="196"/>
      <c r="LTI46" s="196"/>
      <c r="LTJ46" s="196"/>
      <c r="LTK46" s="196"/>
      <c r="LTL46" s="647"/>
      <c r="LTM46" s="196"/>
      <c r="LTN46" s="646"/>
      <c r="LTO46" s="1400"/>
      <c r="LTP46" s="1401"/>
      <c r="LTQ46" s="196"/>
      <c r="LTR46" s="196"/>
      <c r="LTS46" s="196"/>
      <c r="LTT46" s="196"/>
      <c r="LTU46" s="196"/>
      <c r="LTV46" s="196"/>
      <c r="LTW46" s="647"/>
      <c r="LTX46" s="196"/>
      <c r="LTY46" s="646"/>
      <c r="LTZ46" s="1400"/>
      <c r="LUA46" s="1401"/>
      <c r="LUB46" s="196"/>
      <c r="LUC46" s="196"/>
      <c r="LUD46" s="196"/>
      <c r="LUE46" s="196"/>
      <c r="LUF46" s="196"/>
      <c r="LUG46" s="196"/>
      <c r="LUH46" s="647"/>
      <c r="LUI46" s="196"/>
      <c r="LUJ46" s="646"/>
      <c r="LUK46" s="1400"/>
      <c r="LUL46" s="1401"/>
      <c r="LUM46" s="196"/>
      <c r="LUN46" s="196"/>
      <c r="LUO46" s="196"/>
      <c r="LUP46" s="196"/>
      <c r="LUQ46" s="196"/>
      <c r="LUR46" s="196"/>
      <c r="LUS46" s="647"/>
      <c r="LUT46" s="196"/>
      <c r="LUU46" s="646"/>
      <c r="LUV46" s="1400"/>
      <c r="LUW46" s="1401"/>
      <c r="LUX46" s="196"/>
      <c r="LUY46" s="196"/>
      <c r="LUZ46" s="196"/>
      <c r="LVA46" s="196"/>
      <c r="LVB46" s="196"/>
      <c r="LVC46" s="196"/>
      <c r="LVD46" s="647"/>
      <c r="LVE46" s="196"/>
      <c r="LVF46" s="646"/>
      <c r="LVG46" s="1400"/>
      <c r="LVH46" s="1401"/>
      <c r="LVI46" s="196"/>
      <c r="LVJ46" s="196"/>
      <c r="LVK46" s="196"/>
      <c r="LVL46" s="196"/>
      <c r="LVM46" s="196"/>
      <c r="LVN46" s="196"/>
      <c r="LVO46" s="647"/>
      <c r="LVP46" s="196"/>
      <c r="LVQ46" s="646"/>
      <c r="LVR46" s="1400"/>
      <c r="LVS46" s="1401"/>
      <c r="LVT46" s="196"/>
      <c r="LVU46" s="196"/>
      <c r="LVV46" s="196"/>
      <c r="LVW46" s="196"/>
      <c r="LVX46" s="196"/>
      <c r="LVY46" s="196"/>
      <c r="LVZ46" s="647"/>
      <c r="LWA46" s="196"/>
      <c r="LWB46" s="646"/>
      <c r="LWC46" s="1400"/>
      <c r="LWD46" s="1401"/>
      <c r="LWE46" s="196"/>
      <c r="LWF46" s="196"/>
      <c r="LWG46" s="196"/>
      <c r="LWH46" s="196"/>
      <c r="LWI46" s="196"/>
      <c r="LWJ46" s="196"/>
      <c r="LWK46" s="647"/>
      <c r="LWL46" s="196"/>
      <c r="LWM46" s="646"/>
      <c r="LWN46" s="1400"/>
      <c r="LWO46" s="1401"/>
      <c r="LWP46" s="196"/>
      <c r="LWQ46" s="196"/>
      <c r="LWR46" s="196"/>
      <c r="LWS46" s="196"/>
      <c r="LWT46" s="196"/>
      <c r="LWU46" s="196"/>
      <c r="LWV46" s="647"/>
      <c r="LWW46" s="196"/>
      <c r="LWX46" s="646"/>
      <c r="LWY46" s="1400"/>
      <c r="LWZ46" s="1401"/>
      <c r="LXA46" s="196"/>
      <c r="LXB46" s="196"/>
      <c r="LXC46" s="196"/>
      <c r="LXD46" s="196"/>
      <c r="LXE46" s="196"/>
      <c r="LXF46" s="196"/>
      <c r="LXG46" s="647"/>
      <c r="LXH46" s="196"/>
      <c r="LXI46" s="646"/>
      <c r="LXJ46" s="1400"/>
      <c r="LXK46" s="1401"/>
      <c r="LXL46" s="196"/>
      <c r="LXM46" s="196"/>
      <c r="LXN46" s="196"/>
      <c r="LXO46" s="196"/>
      <c r="LXP46" s="196"/>
      <c r="LXQ46" s="196"/>
      <c r="LXR46" s="647"/>
      <c r="LXS46" s="196"/>
      <c r="LXT46" s="646"/>
      <c r="LXU46" s="1400"/>
      <c r="LXV46" s="1401"/>
      <c r="LXW46" s="196"/>
      <c r="LXX46" s="196"/>
      <c r="LXY46" s="196"/>
      <c r="LXZ46" s="196"/>
      <c r="LYA46" s="196"/>
      <c r="LYB46" s="196"/>
      <c r="LYC46" s="647"/>
      <c r="LYD46" s="196"/>
      <c r="LYE46" s="646"/>
      <c r="LYF46" s="1400"/>
      <c r="LYG46" s="1401"/>
      <c r="LYH46" s="196"/>
      <c r="LYI46" s="196"/>
      <c r="LYJ46" s="196"/>
      <c r="LYK46" s="196"/>
      <c r="LYL46" s="196"/>
      <c r="LYM46" s="196"/>
      <c r="LYN46" s="647"/>
      <c r="LYO46" s="196"/>
      <c r="LYP46" s="646"/>
      <c r="LYQ46" s="1400"/>
      <c r="LYR46" s="1401"/>
      <c r="LYS46" s="196"/>
      <c r="LYT46" s="196"/>
      <c r="LYU46" s="196"/>
      <c r="LYV46" s="196"/>
      <c r="LYW46" s="196"/>
      <c r="LYX46" s="196"/>
      <c r="LYY46" s="647"/>
      <c r="LYZ46" s="196"/>
      <c r="LZA46" s="646"/>
      <c r="LZB46" s="1400"/>
      <c r="LZC46" s="1401"/>
      <c r="LZD46" s="196"/>
      <c r="LZE46" s="196"/>
      <c r="LZF46" s="196"/>
      <c r="LZG46" s="196"/>
      <c r="LZH46" s="196"/>
      <c r="LZI46" s="196"/>
      <c r="LZJ46" s="647"/>
      <c r="LZK46" s="196"/>
      <c r="LZL46" s="646"/>
      <c r="LZM46" s="1400"/>
      <c r="LZN46" s="1401"/>
      <c r="LZO46" s="196"/>
      <c r="LZP46" s="196"/>
      <c r="LZQ46" s="196"/>
      <c r="LZR46" s="196"/>
      <c r="LZS46" s="196"/>
      <c r="LZT46" s="196"/>
      <c r="LZU46" s="647"/>
      <c r="LZV46" s="196"/>
      <c r="LZW46" s="646"/>
      <c r="LZX46" s="1400"/>
      <c r="LZY46" s="1401"/>
      <c r="LZZ46" s="196"/>
      <c r="MAA46" s="196"/>
      <c r="MAB46" s="196"/>
      <c r="MAC46" s="196"/>
      <c r="MAD46" s="196"/>
      <c r="MAE46" s="196"/>
      <c r="MAF46" s="647"/>
      <c r="MAG46" s="196"/>
      <c r="MAH46" s="646"/>
      <c r="MAI46" s="1400"/>
      <c r="MAJ46" s="1401"/>
      <c r="MAK46" s="196"/>
      <c r="MAL46" s="196"/>
      <c r="MAM46" s="196"/>
      <c r="MAN46" s="196"/>
      <c r="MAO46" s="196"/>
      <c r="MAP46" s="196"/>
      <c r="MAQ46" s="647"/>
      <c r="MAR46" s="196"/>
      <c r="MAS46" s="646"/>
      <c r="MAT46" s="1400"/>
      <c r="MAU46" s="1401"/>
      <c r="MAV46" s="196"/>
      <c r="MAW46" s="196"/>
      <c r="MAX46" s="196"/>
      <c r="MAY46" s="196"/>
      <c r="MAZ46" s="196"/>
      <c r="MBA46" s="196"/>
      <c r="MBB46" s="647"/>
      <c r="MBC46" s="196"/>
      <c r="MBD46" s="646"/>
      <c r="MBE46" s="1400"/>
      <c r="MBF46" s="1401"/>
      <c r="MBG46" s="196"/>
      <c r="MBH46" s="196"/>
      <c r="MBI46" s="196"/>
      <c r="MBJ46" s="196"/>
      <c r="MBK46" s="196"/>
      <c r="MBL46" s="196"/>
      <c r="MBM46" s="647"/>
      <c r="MBN46" s="196"/>
      <c r="MBO46" s="646"/>
      <c r="MBP46" s="1400"/>
      <c r="MBQ46" s="1401"/>
      <c r="MBR46" s="196"/>
      <c r="MBS46" s="196"/>
      <c r="MBT46" s="196"/>
      <c r="MBU46" s="196"/>
      <c r="MBV46" s="196"/>
      <c r="MBW46" s="196"/>
      <c r="MBX46" s="647"/>
      <c r="MBY46" s="196"/>
      <c r="MBZ46" s="646"/>
      <c r="MCA46" s="1400"/>
      <c r="MCB46" s="1401"/>
      <c r="MCC46" s="196"/>
      <c r="MCD46" s="196"/>
      <c r="MCE46" s="196"/>
      <c r="MCF46" s="196"/>
      <c r="MCG46" s="196"/>
      <c r="MCH46" s="196"/>
      <c r="MCI46" s="647"/>
      <c r="MCJ46" s="196"/>
      <c r="MCK46" s="646"/>
      <c r="MCL46" s="1400"/>
      <c r="MCM46" s="1401"/>
      <c r="MCN46" s="196"/>
      <c r="MCO46" s="196"/>
      <c r="MCP46" s="196"/>
      <c r="MCQ46" s="196"/>
      <c r="MCR46" s="196"/>
      <c r="MCS46" s="196"/>
      <c r="MCT46" s="647"/>
      <c r="MCU46" s="196"/>
      <c r="MCV46" s="646"/>
      <c r="MCW46" s="1400"/>
      <c r="MCX46" s="1401"/>
      <c r="MCY46" s="196"/>
      <c r="MCZ46" s="196"/>
      <c r="MDA46" s="196"/>
      <c r="MDB46" s="196"/>
      <c r="MDC46" s="196"/>
      <c r="MDD46" s="196"/>
      <c r="MDE46" s="647"/>
      <c r="MDF46" s="196"/>
      <c r="MDG46" s="646"/>
      <c r="MDH46" s="1400"/>
      <c r="MDI46" s="1401"/>
      <c r="MDJ46" s="196"/>
      <c r="MDK46" s="196"/>
      <c r="MDL46" s="196"/>
      <c r="MDM46" s="196"/>
      <c r="MDN46" s="196"/>
      <c r="MDO46" s="196"/>
      <c r="MDP46" s="647"/>
      <c r="MDQ46" s="196"/>
      <c r="MDR46" s="646"/>
      <c r="MDS46" s="1400"/>
      <c r="MDT46" s="1401"/>
      <c r="MDU46" s="196"/>
      <c r="MDV46" s="196"/>
      <c r="MDW46" s="196"/>
      <c r="MDX46" s="196"/>
      <c r="MDY46" s="196"/>
      <c r="MDZ46" s="196"/>
      <c r="MEA46" s="647"/>
      <c r="MEB46" s="196"/>
      <c r="MEC46" s="646"/>
      <c r="MED46" s="1400"/>
      <c r="MEE46" s="1401"/>
      <c r="MEF46" s="196"/>
      <c r="MEG46" s="196"/>
      <c r="MEH46" s="196"/>
      <c r="MEI46" s="196"/>
      <c r="MEJ46" s="196"/>
      <c r="MEK46" s="196"/>
      <c r="MEL46" s="647"/>
      <c r="MEM46" s="196"/>
      <c r="MEN46" s="646"/>
      <c r="MEO46" s="1400"/>
      <c r="MEP46" s="1401"/>
      <c r="MEQ46" s="196"/>
      <c r="MER46" s="196"/>
      <c r="MES46" s="196"/>
      <c r="MET46" s="196"/>
      <c r="MEU46" s="196"/>
      <c r="MEV46" s="196"/>
      <c r="MEW46" s="647"/>
      <c r="MEX46" s="196"/>
      <c r="MEY46" s="646"/>
      <c r="MEZ46" s="1400"/>
      <c r="MFA46" s="1401"/>
      <c r="MFB46" s="196"/>
      <c r="MFC46" s="196"/>
      <c r="MFD46" s="196"/>
      <c r="MFE46" s="196"/>
      <c r="MFF46" s="196"/>
      <c r="MFG46" s="196"/>
      <c r="MFH46" s="647"/>
      <c r="MFI46" s="196"/>
      <c r="MFJ46" s="646"/>
      <c r="MFK46" s="1400"/>
      <c r="MFL46" s="1401"/>
      <c r="MFM46" s="196"/>
      <c r="MFN46" s="196"/>
      <c r="MFO46" s="196"/>
      <c r="MFP46" s="196"/>
      <c r="MFQ46" s="196"/>
      <c r="MFR46" s="196"/>
      <c r="MFS46" s="647"/>
      <c r="MFT46" s="196"/>
      <c r="MFU46" s="646"/>
      <c r="MFV46" s="1400"/>
      <c r="MFW46" s="1401"/>
      <c r="MFX46" s="196"/>
      <c r="MFY46" s="196"/>
      <c r="MFZ46" s="196"/>
      <c r="MGA46" s="196"/>
      <c r="MGB46" s="196"/>
      <c r="MGC46" s="196"/>
      <c r="MGD46" s="647"/>
      <c r="MGE46" s="196"/>
      <c r="MGF46" s="646"/>
      <c r="MGG46" s="1400"/>
      <c r="MGH46" s="1401"/>
      <c r="MGI46" s="196"/>
      <c r="MGJ46" s="196"/>
      <c r="MGK46" s="196"/>
      <c r="MGL46" s="196"/>
      <c r="MGM46" s="196"/>
      <c r="MGN46" s="196"/>
      <c r="MGO46" s="647"/>
      <c r="MGP46" s="196"/>
      <c r="MGQ46" s="646"/>
      <c r="MGR46" s="1400"/>
      <c r="MGS46" s="1401"/>
      <c r="MGT46" s="196"/>
      <c r="MGU46" s="196"/>
      <c r="MGV46" s="196"/>
      <c r="MGW46" s="196"/>
      <c r="MGX46" s="196"/>
      <c r="MGY46" s="196"/>
      <c r="MGZ46" s="647"/>
      <c r="MHA46" s="196"/>
      <c r="MHB46" s="646"/>
      <c r="MHC46" s="1400"/>
      <c r="MHD46" s="1401"/>
      <c r="MHE46" s="196"/>
      <c r="MHF46" s="196"/>
      <c r="MHG46" s="196"/>
      <c r="MHH46" s="196"/>
      <c r="MHI46" s="196"/>
      <c r="MHJ46" s="196"/>
      <c r="MHK46" s="647"/>
      <c r="MHL46" s="196"/>
      <c r="MHM46" s="646"/>
      <c r="MHN46" s="1400"/>
      <c r="MHO46" s="1401"/>
      <c r="MHP46" s="196"/>
      <c r="MHQ46" s="196"/>
      <c r="MHR46" s="196"/>
      <c r="MHS46" s="196"/>
      <c r="MHT46" s="196"/>
      <c r="MHU46" s="196"/>
      <c r="MHV46" s="647"/>
      <c r="MHW46" s="196"/>
      <c r="MHX46" s="646"/>
      <c r="MHY46" s="1400"/>
      <c r="MHZ46" s="1401"/>
      <c r="MIA46" s="196"/>
      <c r="MIB46" s="196"/>
      <c r="MIC46" s="196"/>
      <c r="MID46" s="196"/>
      <c r="MIE46" s="196"/>
      <c r="MIF46" s="196"/>
      <c r="MIG46" s="647"/>
      <c r="MIH46" s="196"/>
      <c r="MII46" s="646"/>
      <c r="MIJ46" s="1400"/>
      <c r="MIK46" s="1401"/>
      <c r="MIL46" s="196"/>
      <c r="MIM46" s="196"/>
      <c r="MIN46" s="196"/>
      <c r="MIO46" s="196"/>
      <c r="MIP46" s="196"/>
      <c r="MIQ46" s="196"/>
      <c r="MIR46" s="647"/>
      <c r="MIS46" s="196"/>
      <c r="MIT46" s="646"/>
      <c r="MIU46" s="1400"/>
      <c r="MIV46" s="1401"/>
      <c r="MIW46" s="196"/>
      <c r="MIX46" s="196"/>
      <c r="MIY46" s="196"/>
      <c r="MIZ46" s="196"/>
      <c r="MJA46" s="196"/>
      <c r="MJB46" s="196"/>
      <c r="MJC46" s="647"/>
      <c r="MJD46" s="196"/>
      <c r="MJE46" s="646"/>
      <c r="MJF46" s="1400"/>
      <c r="MJG46" s="1401"/>
      <c r="MJH46" s="196"/>
      <c r="MJI46" s="196"/>
      <c r="MJJ46" s="196"/>
      <c r="MJK46" s="196"/>
      <c r="MJL46" s="196"/>
      <c r="MJM46" s="196"/>
      <c r="MJN46" s="647"/>
      <c r="MJO46" s="196"/>
      <c r="MJP46" s="646"/>
      <c r="MJQ46" s="1400"/>
      <c r="MJR46" s="1401"/>
      <c r="MJS46" s="196"/>
      <c r="MJT46" s="196"/>
      <c r="MJU46" s="196"/>
      <c r="MJV46" s="196"/>
      <c r="MJW46" s="196"/>
      <c r="MJX46" s="196"/>
      <c r="MJY46" s="647"/>
      <c r="MJZ46" s="196"/>
      <c r="MKA46" s="646"/>
      <c r="MKB46" s="1400"/>
      <c r="MKC46" s="1401"/>
      <c r="MKD46" s="196"/>
      <c r="MKE46" s="196"/>
      <c r="MKF46" s="196"/>
      <c r="MKG46" s="196"/>
      <c r="MKH46" s="196"/>
      <c r="MKI46" s="196"/>
      <c r="MKJ46" s="647"/>
      <c r="MKK46" s="196"/>
      <c r="MKL46" s="646"/>
      <c r="MKM46" s="1400"/>
      <c r="MKN46" s="1401"/>
      <c r="MKO46" s="196"/>
      <c r="MKP46" s="196"/>
      <c r="MKQ46" s="196"/>
      <c r="MKR46" s="196"/>
      <c r="MKS46" s="196"/>
      <c r="MKT46" s="196"/>
      <c r="MKU46" s="647"/>
      <c r="MKV46" s="196"/>
      <c r="MKW46" s="646"/>
      <c r="MKX46" s="1400"/>
      <c r="MKY46" s="1401"/>
      <c r="MKZ46" s="196"/>
      <c r="MLA46" s="196"/>
      <c r="MLB46" s="196"/>
      <c r="MLC46" s="196"/>
      <c r="MLD46" s="196"/>
      <c r="MLE46" s="196"/>
      <c r="MLF46" s="647"/>
      <c r="MLG46" s="196"/>
      <c r="MLH46" s="646"/>
      <c r="MLI46" s="1400"/>
      <c r="MLJ46" s="1401"/>
      <c r="MLK46" s="196"/>
      <c r="MLL46" s="196"/>
      <c r="MLM46" s="196"/>
      <c r="MLN46" s="196"/>
      <c r="MLO46" s="196"/>
      <c r="MLP46" s="196"/>
      <c r="MLQ46" s="647"/>
      <c r="MLR46" s="196"/>
      <c r="MLS46" s="646"/>
      <c r="MLT46" s="1400"/>
      <c r="MLU46" s="1401"/>
      <c r="MLV46" s="196"/>
      <c r="MLW46" s="196"/>
      <c r="MLX46" s="196"/>
      <c r="MLY46" s="196"/>
      <c r="MLZ46" s="196"/>
      <c r="MMA46" s="196"/>
      <c r="MMB46" s="647"/>
      <c r="MMC46" s="196"/>
      <c r="MMD46" s="646"/>
      <c r="MME46" s="1400"/>
      <c r="MMF46" s="1401"/>
      <c r="MMG46" s="196"/>
      <c r="MMH46" s="196"/>
      <c r="MMI46" s="196"/>
      <c r="MMJ46" s="196"/>
      <c r="MMK46" s="196"/>
      <c r="MML46" s="196"/>
      <c r="MMM46" s="647"/>
      <c r="MMN46" s="196"/>
      <c r="MMO46" s="646"/>
      <c r="MMP46" s="1400"/>
      <c r="MMQ46" s="1401"/>
      <c r="MMR46" s="196"/>
      <c r="MMS46" s="196"/>
      <c r="MMT46" s="196"/>
      <c r="MMU46" s="196"/>
      <c r="MMV46" s="196"/>
      <c r="MMW46" s="196"/>
      <c r="MMX46" s="647"/>
      <c r="MMY46" s="196"/>
      <c r="MMZ46" s="646"/>
      <c r="MNA46" s="1400"/>
      <c r="MNB46" s="1401"/>
      <c r="MNC46" s="196"/>
      <c r="MND46" s="196"/>
      <c r="MNE46" s="196"/>
      <c r="MNF46" s="196"/>
      <c r="MNG46" s="196"/>
      <c r="MNH46" s="196"/>
      <c r="MNI46" s="647"/>
      <c r="MNJ46" s="196"/>
      <c r="MNK46" s="646"/>
      <c r="MNL46" s="1400"/>
      <c r="MNM46" s="1401"/>
      <c r="MNN46" s="196"/>
      <c r="MNO46" s="196"/>
      <c r="MNP46" s="196"/>
      <c r="MNQ46" s="196"/>
      <c r="MNR46" s="196"/>
      <c r="MNS46" s="196"/>
      <c r="MNT46" s="647"/>
      <c r="MNU46" s="196"/>
      <c r="MNV46" s="646"/>
      <c r="MNW46" s="1400"/>
      <c r="MNX46" s="1401"/>
      <c r="MNY46" s="196"/>
      <c r="MNZ46" s="196"/>
      <c r="MOA46" s="196"/>
      <c r="MOB46" s="196"/>
      <c r="MOC46" s="196"/>
      <c r="MOD46" s="196"/>
      <c r="MOE46" s="647"/>
      <c r="MOF46" s="196"/>
      <c r="MOG46" s="646"/>
      <c r="MOH46" s="1400"/>
      <c r="MOI46" s="1401"/>
      <c r="MOJ46" s="196"/>
      <c r="MOK46" s="196"/>
      <c r="MOL46" s="196"/>
      <c r="MOM46" s="196"/>
      <c r="MON46" s="196"/>
      <c r="MOO46" s="196"/>
      <c r="MOP46" s="647"/>
      <c r="MOQ46" s="196"/>
      <c r="MOR46" s="646"/>
      <c r="MOS46" s="1400"/>
      <c r="MOT46" s="1401"/>
      <c r="MOU46" s="196"/>
      <c r="MOV46" s="196"/>
      <c r="MOW46" s="196"/>
      <c r="MOX46" s="196"/>
      <c r="MOY46" s="196"/>
      <c r="MOZ46" s="196"/>
      <c r="MPA46" s="647"/>
      <c r="MPB46" s="196"/>
      <c r="MPC46" s="646"/>
      <c r="MPD46" s="1400"/>
      <c r="MPE46" s="1401"/>
      <c r="MPF46" s="196"/>
      <c r="MPG46" s="196"/>
      <c r="MPH46" s="196"/>
      <c r="MPI46" s="196"/>
      <c r="MPJ46" s="196"/>
      <c r="MPK46" s="196"/>
      <c r="MPL46" s="647"/>
      <c r="MPM46" s="196"/>
      <c r="MPN46" s="646"/>
      <c r="MPO46" s="1400"/>
      <c r="MPP46" s="1401"/>
      <c r="MPQ46" s="196"/>
      <c r="MPR46" s="196"/>
      <c r="MPS46" s="196"/>
      <c r="MPT46" s="196"/>
      <c r="MPU46" s="196"/>
      <c r="MPV46" s="196"/>
      <c r="MPW46" s="647"/>
      <c r="MPX46" s="196"/>
      <c r="MPY46" s="646"/>
      <c r="MPZ46" s="1400"/>
      <c r="MQA46" s="1401"/>
      <c r="MQB46" s="196"/>
      <c r="MQC46" s="196"/>
      <c r="MQD46" s="196"/>
      <c r="MQE46" s="196"/>
      <c r="MQF46" s="196"/>
      <c r="MQG46" s="196"/>
      <c r="MQH46" s="647"/>
      <c r="MQI46" s="196"/>
      <c r="MQJ46" s="646"/>
      <c r="MQK46" s="1400"/>
      <c r="MQL46" s="1401"/>
      <c r="MQM46" s="196"/>
      <c r="MQN46" s="196"/>
      <c r="MQO46" s="196"/>
      <c r="MQP46" s="196"/>
      <c r="MQQ46" s="196"/>
      <c r="MQR46" s="196"/>
      <c r="MQS46" s="647"/>
      <c r="MQT46" s="196"/>
      <c r="MQU46" s="646"/>
      <c r="MQV46" s="1400"/>
      <c r="MQW46" s="1401"/>
      <c r="MQX46" s="196"/>
      <c r="MQY46" s="196"/>
      <c r="MQZ46" s="196"/>
      <c r="MRA46" s="196"/>
      <c r="MRB46" s="196"/>
      <c r="MRC46" s="196"/>
      <c r="MRD46" s="647"/>
      <c r="MRE46" s="196"/>
      <c r="MRF46" s="646"/>
      <c r="MRG46" s="1400"/>
      <c r="MRH46" s="1401"/>
      <c r="MRI46" s="196"/>
      <c r="MRJ46" s="196"/>
      <c r="MRK46" s="196"/>
      <c r="MRL46" s="196"/>
      <c r="MRM46" s="196"/>
      <c r="MRN46" s="196"/>
      <c r="MRO46" s="647"/>
      <c r="MRP46" s="196"/>
      <c r="MRQ46" s="646"/>
      <c r="MRR46" s="1400"/>
      <c r="MRS46" s="1401"/>
      <c r="MRT46" s="196"/>
      <c r="MRU46" s="196"/>
      <c r="MRV46" s="196"/>
      <c r="MRW46" s="196"/>
      <c r="MRX46" s="196"/>
      <c r="MRY46" s="196"/>
      <c r="MRZ46" s="647"/>
      <c r="MSA46" s="196"/>
      <c r="MSB46" s="646"/>
      <c r="MSC46" s="1400"/>
      <c r="MSD46" s="1401"/>
      <c r="MSE46" s="196"/>
      <c r="MSF46" s="196"/>
      <c r="MSG46" s="196"/>
      <c r="MSH46" s="196"/>
      <c r="MSI46" s="196"/>
      <c r="MSJ46" s="196"/>
      <c r="MSK46" s="647"/>
      <c r="MSL46" s="196"/>
      <c r="MSM46" s="646"/>
      <c r="MSN46" s="1400"/>
      <c r="MSO46" s="1401"/>
      <c r="MSP46" s="196"/>
      <c r="MSQ46" s="196"/>
      <c r="MSR46" s="196"/>
      <c r="MSS46" s="196"/>
      <c r="MST46" s="196"/>
      <c r="MSU46" s="196"/>
      <c r="MSV46" s="647"/>
      <c r="MSW46" s="196"/>
      <c r="MSX46" s="646"/>
      <c r="MSY46" s="1400"/>
      <c r="MSZ46" s="1401"/>
      <c r="MTA46" s="196"/>
      <c r="MTB46" s="196"/>
      <c r="MTC46" s="196"/>
      <c r="MTD46" s="196"/>
      <c r="MTE46" s="196"/>
      <c r="MTF46" s="196"/>
      <c r="MTG46" s="647"/>
      <c r="MTH46" s="196"/>
      <c r="MTI46" s="646"/>
      <c r="MTJ46" s="1400"/>
      <c r="MTK46" s="1401"/>
      <c r="MTL46" s="196"/>
      <c r="MTM46" s="196"/>
      <c r="MTN46" s="196"/>
      <c r="MTO46" s="196"/>
      <c r="MTP46" s="196"/>
      <c r="MTQ46" s="196"/>
      <c r="MTR46" s="647"/>
      <c r="MTS46" s="196"/>
      <c r="MTT46" s="646"/>
      <c r="MTU46" s="1400"/>
      <c r="MTV46" s="1401"/>
      <c r="MTW46" s="196"/>
      <c r="MTX46" s="196"/>
      <c r="MTY46" s="196"/>
      <c r="MTZ46" s="196"/>
      <c r="MUA46" s="196"/>
      <c r="MUB46" s="196"/>
      <c r="MUC46" s="647"/>
      <c r="MUD46" s="196"/>
      <c r="MUE46" s="646"/>
      <c r="MUF46" s="1400"/>
      <c r="MUG46" s="1401"/>
      <c r="MUH46" s="196"/>
      <c r="MUI46" s="196"/>
      <c r="MUJ46" s="196"/>
      <c r="MUK46" s="196"/>
      <c r="MUL46" s="196"/>
      <c r="MUM46" s="196"/>
      <c r="MUN46" s="647"/>
      <c r="MUO46" s="196"/>
      <c r="MUP46" s="646"/>
      <c r="MUQ46" s="1400"/>
      <c r="MUR46" s="1401"/>
      <c r="MUS46" s="196"/>
      <c r="MUT46" s="196"/>
      <c r="MUU46" s="196"/>
      <c r="MUV46" s="196"/>
      <c r="MUW46" s="196"/>
      <c r="MUX46" s="196"/>
      <c r="MUY46" s="647"/>
      <c r="MUZ46" s="196"/>
      <c r="MVA46" s="646"/>
      <c r="MVB46" s="1400"/>
      <c r="MVC46" s="1401"/>
      <c r="MVD46" s="196"/>
      <c r="MVE46" s="196"/>
      <c r="MVF46" s="196"/>
      <c r="MVG46" s="196"/>
      <c r="MVH46" s="196"/>
      <c r="MVI46" s="196"/>
      <c r="MVJ46" s="647"/>
      <c r="MVK46" s="196"/>
      <c r="MVL46" s="646"/>
      <c r="MVM46" s="1400"/>
      <c r="MVN46" s="1401"/>
      <c r="MVO46" s="196"/>
      <c r="MVP46" s="196"/>
      <c r="MVQ46" s="196"/>
      <c r="MVR46" s="196"/>
      <c r="MVS46" s="196"/>
      <c r="MVT46" s="196"/>
      <c r="MVU46" s="647"/>
      <c r="MVV46" s="196"/>
      <c r="MVW46" s="646"/>
      <c r="MVX46" s="1400"/>
      <c r="MVY46" s="1401"/>
      <c r="MVZ46" s="196"/>
      <c r="MWA46" s="196"/>
      <c r="MWB46" s="196"/>
      <c r="MWC46" s="196"/>
      <c r="MWD46" s="196"/>
      <c r="MWE46" s="196"/>
      <c r="MWF46" s="647"/>
      <c r="MWG46" s="196"/>
      <c r="MWH46" s="646"/>
      <c r="MWI46" s="1400"/>
      <c r="MWJ46" s="1401"/>
      <c r="MWK46" s="196"/>
      <c r="MWL46" s="196"/>
      <c r="MWM46" s="196"/>
      <c r="MWN46" s="196"/>
      <c r="MWO46" s="196"/>
      <c r="MWP46" s="196"/>
      <c r="MWQ46" s="647"/>
      <c r="MWR46" s="196"/>
      <c r="MWS46" s="646"/>
      <c r="MWT46" s="1400"/>
      <c r="MWU46" s="1401"/>
      <c r="MWV46" s="196"/>
      <c r="MWW46" s="196"/>
      <c r="MWX46" s="196"/>
      <c r="MWY46" s="196"/>
      <c r="MWZ46" s="196"/>
      <c r="MXA46" s="196"/>
      <c r="MXB46" s="647"/>
      <c r="MXC46" s="196"/>
      <c r="MXD46" s="646"/>
      <c r="MXE46" s="1400"/>
      <c r="MXF46" s="1401"/>
      <c r="MXG46" s="196"/>
      <c r="MXH46" s="196"/>
      <c r="MXI46" s="196"/>
      <c r="MXJ46" s="196"/>
      <c r="MXK46" s="196"/>
      <c r="MXL46" s="196"/>
      <c r="MXM46" s="647"/>
      <c r="MXN46" s="196"/>
      <c r="MXO46" s="646"/>
      <c r="MXP46" s="1400"/>
      <c r="MXQ46" s="1401"/>
      <c r="MXR46" s="196"/>
      <c r="MXS46" s="196"/>
      <c r="MXT46" s="196"/>
      <c r="MXU46" s="196"/>
      <c r="MXV46" s="196"/>
      <c r="MXW46" s="196"/>
      <c r="MXX46" s="647"/>
      <c r="MXY46" s="196"/>
      <c r="MXZ46" s="646"/>
      <c r="MYA46" s="1400"/>
      <c r="MYB46" s="1401"/>
      <c r="MYC46" s="196"/>
      <c r="MYD46" s="196"/>
      <c r="MYE46" s="196"/>
      <c r="MYF46" s="196"/>
      <c r="MYG46" s="196"/>
      <c r="MYH46" s="196"/>
      <c r="MYI46" s="647"/>
      <c r="MYJ46" s="196"/>
      <c r="MYK46" s="646"/>
      <c r="MYL46" s="1400"/>
      <c r="MYM46" s="1401"/>
      <c r="MYN46" s="196"/>
      <c r="MYO46" s="196"/>
      <c r="MYP46" s="196"/>
      <c r="MYQ46" s="196"/>
      <c r="MYR46" s="196"/>
      <c r="MYS46" s="196"/>
      <c r="MYT46" s="647"/>
      <c r="MYU46" s="196"/>
      <c r="MYV46" s="646"/>
      <c r="MYW46" s="1400"/>
      <c r="MYX46" s="1401"/>
      <c r="MYY46" s="196"/>
      <c r="MYZ46" s="196"/>
      <c r="MZA46" s="196"/>
      <c r="MZB46" s="196"/>
      <c r="MZC46" s="196"/>
      <c r="MZD46" s="196"/>
      <c r="MZE46" s="647"/>
      <c r="MZF46" s="196"/>
      <c r="MZG46" s="646"/>
      <c r="MZH46" s="1400"/>
      <c r="MZI46" s="1401"/>
      <c r="MZJ46" s="196"/>
      <c r="MZK46" s="196"/>
      <c r="MZL46" s="196"/>
      <c r="MZM46" s="196"/>
      <c r="MZN46" s="196"/>
      <c r="MZO46" s="196"/>
      <c r="MZP46" s="647"/>
      <c r="MZQ46" s="196"/>
      <c r="MZR46" s="646"/>
      <c r="MZS46" s="1400"/>
      <c r="MZT46" s="1401"/>
      <c r="MZU46" s="196"/>
      <c r="MZV46" s="196"/>
      <c r="MZW46" s="196"/>
      <c r="MZX46" s="196"/>
      <c r="MZY46" s="196"/>
      <c r="MZZ46" s="196"/>
      <c r="NAA46" s="647"/>
      <c r="NAB46" s="196"/>
      <c r="NAC46" s="646"/>
      <c r="NAD46" s="1400"/>
      <c r="NAE46" s="1401"/>
      <c r="NAF46" s="196"/>
      <c r="NAG46" s="196"/>
      <c r="NAH46" s="196"/>
      <c r="NAI46" s="196"/>
      <c r="NAJ46" s="196"/>
      <c r="NAK46" s="196"/>
      <c r="NAL46" s="647"/>
      <c r="NAM46" s="196"/>
      <c r="NAN46" s="646"/>
      <c r="NAO46" s="1400"/>
      <c r="NAP46" s="1401"/>
      <c r="NAQ46" s="196"/>
      <c r="NAR46" s="196"/>
      <c r="NAS46" s="196"/>
      <c r="NAT46" s="196"/>
      <c r="NAU46" s="196"/>
      <c r="NAV46" s="196"/>
      <c r="NAW46" s="647"/>
      <c r="NAX46" s="196"/>
      <c r="NAY46" s="646"/>
      <c r="NAZ46" s="1400"/>
      <c r="NBA46" s="1401"/>
      <c r="NBB46" s="196"/>
      <c r="NBC46" s="196"/>
      <c r="NBD46" s="196"/>
      <c r="NBE46" s="196"/>
      <c r="NBF46" s="196"/>
      <c r="NBG46" s="196"/>
      <c r="NBH46" s="647"/>
      <c r="NBI46" s="196"/>
      <c r="NBJ46" s="646"/>
      <c r="NBK46" s="1400"/>
      <c r="NBL46" s="1401"/>
      <c r="NBM46" s="196"/>
      <c r="NBN46" s="196"/>
      <c r="NBO46" s="196"/>
      <c r="NBP46" s="196"/>
      <c r="NBQ46" s="196"/>
      <c r="NBR46" s="196"/>
      <c r="NBS46" s="647"/>
      <c r="NBT46" s="196"/>
      <c r="NBU46" s="646"/>
      <c r="NBV46" s="1400"/>
      <c r="NBW46" s="1401"/>
      <c r="NBX46" s="196"/>
      <c r="NBY46" s="196"/>
      <c r="NBZ46" s="196"/>
      <c r="NCA46" s="196"/>
      <c r="NCB46" s="196"/>
      <c r="NCC46" s="196"/>
      <c r="NCD46" s="647"/>
      <c r="NCE46" s="196"/>
      <c r="NCF46" s="646"/>
      <c r="NCG46" s="1400"/>
      <c r="NCH46" s="1401"/>
      <c r="NCI46" s="196"/>
      <c r="NCJ46" s="196"/>
      <c r="NCK46" s="196"/>
      <c r="NCL46" s="196"/>
      <c r="NCM46" s="196"/>
      <c r="NCN46" s="196"/>
      <c r="NCO46" s="647"/>
      <c r="NCP46" s="196"/>
      <c r="NCQ46" s="646"/>
      <c r="NCR46" s="1400"/>
      <c r="NCS46" s="1401"/>
      <c r="NCT46" s="196"/>
      <c r="NCU46" s="196"/>
      <c r="NCV46" s="196"/>
      <c r="NCW46" s="196"/>
      <c r="NCX46" s="196"/>
      <c r="NCY46" s="196"/>
      <c r="NCZ46" s="647"/>
      <c r="NDA46" s="196"/>
      <c r="NDB46" s="646"/>
      <c r="NDC46" s="1400"/>
      <c r="NDD46" s="1401"/>
      <c r="NDE46" s="196"/>
      <c r="NDF46" s="196"/>
      <c r="NDG46" s="196"/>
      <c r="NDH46" s="196"/>
      <c r="NDI46" s="196"/>
      <c r="NDJ46" s="196"/>
      <c r="NDK46" s="647"/>
      <c r="NDL46" s="196"/>
      <c r="NDM46" s="646"/>
      <c r="NDN46" s="1400"/>
      <c r="NDO46" s="1401"/>
      <c r="NDP46" s="196"/>
      <c r="NDQ46" s="196"/>
      <c r="NDR46" s="196"/>
      <c r="NDS46" s="196"/>
      <c r="NDT46" s="196"/>
      <c r="NDU46" s="196"/>
      <c r="NDV46" s="647"/>
      <c r="NDW46" s="196"/>
      <c r="NDX46" s="646"/>
      <c r="NDY46" s="1400"/>
      <c r="NDZ46" s="1401"/>
      <c r="NEA46" s="196"/>
      <c r="NEB46" s="196"/>
      <c r="NEC46" s="196"/>
      <c r="NED46" s="196"/>
      <c r="NEE46" s="196"/>
      <c r="NEF46" s="196"/>
      <c r="NEG46" s="647"/>
      <c r="NEH46" s="196"/>
      <c r="NEI46" s="646"/>
      <c r="NEJ46" s="1400"/>
      <c r="NEK46" s="1401"/>
      <c r="NEL46" s="196"/>
      <c r="NEM46" s="196"/>
      <c r="NEN46" s="196"/>
      <c r="NEO46" s="196"/>
      <c r="NEP46" s="196"/>
      <c r="NEQ46" s="196"/>
      <c r="NER46" s="647"/>
      <c r="NES46" s="196"/>
      <c r="NET46" s="646"/>
      <c r="NEU46" s="1400"/>
      <c r="NEV46" s="1401"/>
      <c r="NEW46" s="196"/>
      <c r="NEX46" s="196"/>
      <c r="NEY46" s="196"/>
      <c r="NEZ46" s="196"/>
      <c r="NFA46" s="196"/>
      <c r="NFB46" s="196"/>
      <c r="NFC46" s="647"/>
      <c r="NFD46" s="196"/>
      <c r="NFE46" s="646"/>
      <c r="NFF46" s="1400"/>
      <c r="NFG46" s="1401"/>
      <c r="NFH46" s="196"/>
      <c r="NFI46" s="196"/>
      <c r="NFJ46" s="196"/>
      <c r="NFK46" s="196"/>
      <c r="NFL46" s="196"/>
      <c r="NFM46" s="196"/>
      <c r="NFN46" s="647"/>
      <c r="NFO46" s="196"/>
      <c r="NFP46" s="646"/>
      <c r="NFQ46" s="1400"/>
      <c r="NFR46" s="1401"/>
      <c r="NFS46" s="196"/>
      <c r="NFT46" s="196"/>
      <c r="NFU46" s="196"/>
      <c r="NFV46" s="196"/>
      <c r="NFW46" s="196"/>
      <c r="NFX46" s="196"/>
      <c r="NFY46" s="647"/>
      <c r="NFZ46" s="196"/>
      <c r="NGA46" s="646"/>
      <c r="NGB46" s="1400"/>
      <c r="NGC46" s="1401"/>
      <c r="NGD46" s="196"/>
      <c r="NGE46" s="196"/>
      <c r="NGF46" s="196"/>
      <c r="NGG46" s="196"/>
      <c r="NGH46" s="196"/>
      <c r="NGI46" s="196"/>
      <c r="NGJ46" s="647"/>
      <c r="NGK46" s="196"/>
      <c r="NGL46" s="646"/>
      <c r="NGM46" s="1400"/>
      <c r="NGN46" s="1401"/>
      <c r="NGO46" s="196"/>
      <c r="NGP46" s="196"/>
      <c r="NGQ46" s="196"/>
      <c r="NGR46" s="196"/>
      <c r="NGS46" s="196"/>
      <c r="NGT46" s="196"/>
      <c r="NGU46" s="647"/>
      <c r="NGV46" s="196"/>
      <c r="NGW46" s="646"/>
      <c r="NGX46" s="1400"/>
      <c r="NGY46" s="1401"/>
      <c r="NGZ46" s="196"/>
      <c r="NHA46" s="196"/>
      <c r="NHB46" s="196"/>
      <c r="NHC46" s="196"/>
      <c r="NHD46" s="196"/>
      <c r="NHE46" s="196"/>
      <c r="NHF46" s="647"/>
      <c r="NHG46" s="196"/>
      <c r="NHH46" s="646"/>
      <c r="NHI46" s="1400"/>
      <c r="NHJ46" s="1401"/>
      <c r="NHK46" s="196"/>
      <c r="NHL46" s="196"/>
      <c r="NHM46" s="196"/>
      <c r="NHN46" s="196"/>
      <c r="NHO46" s="196"/>
      <c r="NHP46" s="196"/>
      <c r="NHQ46" s="647"/>
      <c r="NHR46" s="196"/>
      <c r="NHS46" s="646"/>
      <c r="NHT46" s="1400"/>
      <c r="NHU46" s="1401"/>
      <c r="NHV46" s="196"/>
      <c r="NHW46" s="196"/>
      <c r="NHX46" s="196"/>
      <c r="NHY46" s="196"/>
      <c r="NHZ46" s="196"/>
      <c r="NIA46" s="196"/>
      <c r="NIB46" s="647"/>
      <c r="NIC46" s="196"/>
      <c r="NID46" s="646"/>
      <c r="NIE46" s="1400"/>
      <c r="NIF46" s="1401"/>
      <c r="NIG46" s="196"/>
      <c r="NIH46" s="196"/>
      <c r="NII46" s="196"/>
      <c r="NIJ46" s="196"/>
      <c r="NIK46" s="196"/>
      <c r="NIL46" s="196"/>
      <c r="NIM46" s="647"/>
      <c r="NIN46" s="196"/>
      <c r="NIO46" s="646"/>
      <c r="NIP46" s="1400"/>
      <c r="NIQ46" s="1401"/>
      <c r="NIR46" s="196"/>
      <c r="NIS46" s="196"/>
      <c r="NIT46" s="196"/>
      <c r="NIU46" s="196"/>
      <c r="NIV46" s="196"/>
      <c r="NIW46" s="196"/>
      <c r="NIX46" s="647"/>
      <c r="NIY46" s="196"/>
      <c r="NIZ46" s="646"/>
      <c r="NJA46" s="1400"/>
      <c r="NJB46" s="1401"/>
      <c r="NJC46" s="196"/>
      <c r="NJD46" s="196"/>
      <c r="NJE46" s="196"/>
      <c r="NJF46" s="196"/>
      <c r="NJG46" s="196"/>
      <c r="NJH46" s="196"/>
      <c r="NJI46" s="647"/>
      <c r="NJJ46" s="196"/>
      <c r="NJK46" s="646"/>
      <c r="NJL46" s="1400"/>
      <c r="NJM46" s="1401"/>
      <c r="NJN46" s="196"/>
      <c r="NJO46" s="196"/>
      <c r="NJP46" s="196"/>
      <c r="NJQ46" s="196"/>
      <c r="NJR46" s="196"/>
      <c r="NJS46" s="196"/>
      <c r="NJT46" s="647"/>
      <c r="NJU46" s="196"/>
      <c r="NJV46" s="646"/>
      <c r="NJW46" s="1400"/>
      <c r="NJX46" s="1401"/>
      <c r="NJY46" s="196"/>
      <c r="NJZ46" s="196"/>
      <c r="NKA46" s="196"/>
      <c r="NKB46" s="196"/>
      <c r="NKC46" s="196"/>
      <c r="NKD46" s="196"/>
      <c r="NKE46" s="647"/>
      <c r="NKF46" s="196"/>
      <c r="NKG46" s="646"/>
      <c r="NKH46" s="1400"/>
      <c r="NKI46" s="1401"/>
      <c r="NKJ46" s="196"/>
      <c r="NKK46" s="196"/>
      <c r="NKL46" s="196"/>
      <c r="NKM46" s="196"/>
      <c r="NKN46" s="196"/>
      <c r="NKO46" s="196"/>
      <c r="NKP46" s="647"/>
      <c r="NKQ46" s="196"/>
      <c r="NKR46" s="646"/>
      <c r="NKS46" s="1400"/>
      <c r="NKT46" s="1401"/>
      <c r="NKU46" s="196"/>
      <c r="NKV46" s="196"/>
      <c r="NKW46" s="196"/>
      <c r="NKX46" s="196"/>
      <c r="NKY46" s="196"/>
      <c r="NKZ46" s="196"/>
      <c r="NLA46" s="647"/>
      <c r="NLB46" s="196"/>
      <c r="NLC46" s="646"/>
      <c r="NLD46" s="1400"/>
      <c r="NLE46" s="1401"/>
      <c r="NLF46" s="196"/>
      <c r="NLG46" s="196"/>
      <c r="NLH46" s="196"/>
      <c r="NLI46" s="196"/>
      <c r="NLJ46" s="196"/>
      <c r="NLK46" s="196"/>
      <c r="NLL46" s="647"/>
      <c r="NLM46" s="196"/>
      <c r="NLN46" s="646"/>
      <c r="NLO46" s="1400"/>
      <c r="NLP46" s="1401"/>
      <c r="NLQ46" s="196"/>
      <c r="NLR46" s="196"/>
      <c r="NLS46" s="196"/>
      <c r="NLT46" s="196"/>
      <c r="NLU46" s="196"/>
      <c r="NLV46" s="196"/>
      <c r="NLW46" s="647"/>
      <c r="NLX46" s="196"/>
      <c r="NLY46" s="646"/>
      <c r="NLZ46" s="1400"/>
      <c r="NMA46" s="1401"/>
      <c r="NMB46" s="196"/>
      <c r="NMC46" s="196"/>
      <c r="NMD46" s="196"/>
      <c r="NME46" s="196"/>
      <c r="NMF46" s="196"/>
      <c r="NMG46" s="196"/>
      <c r="NMH46" s="647"/>
      <c r="NMI46" s="196"/>
      <c r="NMJ46" s="646"/>
      <c r="NMK46" s="1400"/>
      <c r="NML46" s="1401"/>
      <c r="NMM46" s="196"/>
      <c r="NMN46" s="196"/>
      <c r="NMO46" s="196"/>
      <c r="NMP46" s="196"/>
      <c r="NMQ46" s="196"/>
      <c r="NMR46" s="196"/>
      <c r="NMS46" s="647"/>
      <c r="NMT46" s="196"/>
      <c r="NMU46" s="646"/>
      <c r="NMV46" s="1400"/>
      <c r="NMW46" s="1401"/>
      <c r="NMX46" s="196"/>
      <c r="NMY46" s="196"/>
      <c r="NMZ46" s="196"/>
      <c r="NNA46" s="196"/>
      <c r="NNB46" s="196"/>
      <c r="NNC46" s="196"/>
      <c r="NND46" s="647"/>
      <c r="NNE46" s="196"/>
      <c r="NNF46" s="646"/>
      <c r="NNG46" s="1400"/>
      <c r="NNH46" s="1401"/>
      <c r="NNI46" s="196"/>
      <c r="NNJ46" s="196"/>
      <c r="NNK46" s="196"/>
      <c r="NNL46" s="196"/>
      <c r="NNM46" s="196"/>
      <c r="NNN46" s="196"/>
      <c r="NNO46" s="647"/>
      <c r="NNP46" s="196"/>
      <c r="NNQ46" s="646"/>
      <c r="NNR46" s="1400"/>
      <c r="NNS46" s="1401"/>
      <c r="NNT46" s="196"/>
      <c r="NNU46" s="196"/>
      <c r="NNV46" s="196"/>
      <c r="NNW46" s="196"/>
      <c r="NNX46" s="196"/>
      <c r="NNY46" s="196"/>
      <c r="NNZ46" s="647"/>
      <c r="NOA46" s="196"/>
      <c r="NOB46" s="646"/>
      <c r="NOC46" s="1400"/>
      <c r="NOD46" s="1401"/>
      <c r="NOE46" s="196"/>
      <c r="NOF46" s="196"/>
      <c r="NOG46" s="196"/>
      <c r="NOH46" s="196"/>
      <c r="NOI46" s="196"/>
      <c r="NOJ46" s="196"/>
      <c r="NOK46" s="647"/>
      <c r="NOL46" s="196"/>
      <c r="NOM46" s="646"/>
      <c r="NON46" s="1400"/>
      <c r="NOO46" s="1401"/>
      <c r="NOP46" s="196"/>
      <c r="NOQ46" s="196"/>
      <c r="NOR46" s="196"/>
      <c r="NOS46" s="196"/>
      <c r="NOT46" s="196"/>
      <c r="NOU46" s="196"/>
      <c r="NOV46" s="647"/>
      <c r="NOW46" s="196"/>
      <c r="NOX46" s="646"/>
      <c r="NOY46" s="1400"/>
      <c r="NOZ46" s="1401"/>
      <c r="NPA46" s="196"/>
      <c r="NPB46" s="196"/>
      <c r="NPC46" s="196"/>
      <c r="NPD46" s="196"/>
      <c r="NPE46" s="196"/>
      <c r="NPF46" s="196"/>
      <c r="NPG46" s="647"/>
      <c r="NPH46" s="196"/>
      <c r="NPI46" s="646"/>
      <c r="NPJ46" s="1400"/>
      <c r="NPK46" s="1401"/>
      <c r="NPL46" s="196"/>
      <c r="NPM46" s="196"/>
      <c r="NPN46" s="196"/>
      <c r="NPO46" s="196"/>
      <c r="NPP46" s="196"/>
      <c r="NPQ46" s="196"/>
      <c r="NPR46" s="647"/>
      <c r="NPS46" s="196"/>
      <c r="NPT46" s="646"/>
      <c r="NPU46" s="1400"/>
      <c r="NPV46" s="1401"/>
      <c r="NPW46" s="196"/>
      <c r="NPX46" s="196"/>
      <c r="NPY46" s="196"/>
      <c r="NPZ46" s="196"/>
      <c r="NQA46" s="196"/>
      <c r="NQB46" s="196"/>
      <c r="NQC46" s="647"/>
      <c r="NQD46" s="196"/>
      <c r="NQE46" s="646"/>
      <c r="NQF46" s="1400"/>
      <c r="NQG46" s="1401"/>
      <c r="NQH46" s="196"/>
      <c r="NQI46" s="196"/>
      <c r="NQJ46" s="196"/>
      <c r="NQK46" s="196"/>
      <c r="NQL46" s="196"/>
      <c r="NQM46" s="196"/>
      <c r="NQN46" s="647"/>
      <c r="NQO46" s="196"/>
      <c r="NQP46" s="646"/>
      <c r="NQQ46" s="1400"/>
      <c r="NQR46" s="1401"/>
      <c r="NQS46" s="196"/>
      <c r="NQT46" s="196"/>
      <c r="NQU46" s="196"/>
      <c r="NQV46" s="196"/>
      <c r="NQW46" s="196"/>
      <c r="NQX46" s="196"/>
      <c r="NQY46" s="647"/>
      <c r="NQZ46" s="196"/>
      <c r="NRA46" s="646"/>
      <c r="NRB46" s="1400"/>
      <c r="NRC46" s="1401"/>
      <c r="NRD46" s="196"/>
      <c r="NRE46" s="196"/>
      <c r="NRF46" s="196"/>
      <c r="NRG46" s="196"/>
      <c r="NRH46" s="196"/>
      <c r="NRI46" s="196"/>
      <c r="NRJ46" s="647"/>
      <c r="NRK46" s="196"/>
      <c r="NRL46" s="646"/>
      <c r="NRM46" s="1400"/>
      <c r="NRN46" s="1401"/>
      <c r="NRO46" s="196"/>
      <c r="NRP46" s="196"/>
      <c r="NRQ46" s="196"/>
      <c r="NRR46" s="196"/>
      <c r="NRS46" s="196"/>
      <c r="NRT46" s="196"/>
      <c r="NRU46" s="647"/>
      <c r="NRV46" s="196"/>
      <c r="NRW46" s="646"/>
      <c r="NRX46" s="1400"/>
      <c r="NRY46" s="1401"/>
      <c r="NRZ46" s="196"/>
      <c r="NSA46" s="196"/>
      <c r="NSB46" s="196"/>
      <c r="NSC46" s="196"/>
      <c r="NSD46" s="196"/>
      <c r="NSE46" s="196"/>
      <c r="NSF46" s="647"/>
      <c r="NSG46" s="196"/>
      <c r="NSH46" s="646"/>
      <c r="NSI46" s="1400"/>
      <c r="NSJ46" s="1401"/>
      <c r="NSK46" s="196"/>
      <c r="NSL46" s="196"/>
      <c r="NSM46" s="196"/>
      <c r="NSN46" s="196"/>
      <c r="NSO46" s="196"/>
      <c r="NSP46" s="196"/>
      <c r="NSQ46" s="647"/>
      <c r="NSR46" s="196"/>
      <c r="NSS46" s="646"/>
      <c r="NST46" s="1400"/>
      <c r="NSU46" s="1401"/>
      <c r="NSV46" s="196"/>
      <c r="NSW46" s="196"/>
      <c r="NSX46" s="196"/>
      <c r="NSY46" s="196"/>
      <c r="NSZ46" s="196"/>
      <c r="NTA46" s="196"/>
      <c r="NTB46" s="647"/>
      <c r="NTC46" s="196"/>
      <c r="NTD46" s="646"/>
      <c r="NTE46" s="1400"/>
      <c r="NTF46" s="1401"/>
      <c r="NTG46" s="196"/>
      <c r="NTH46" s="196"/>
      <c r="NTI46" s="196"/>
      <c r="NTJ46" s="196"/>
      <c r="NTK46" s="196"/>
      <c r="NTL46" s="196"/>
      <c r="NTM46" s="647"/>
      <c r="NTN46" s="196"/>
      <c r="NTO46" s="646"/>
      <c r="NTP46" s="1400"/>
      <c r="NTQ46" s="1401"/>
      <c r="NTR46" s="196"/>
      <c r="NTS46" s="196"/>
      <c r="NTT46" s="196"/>
      <c r="NTU46" s="196"/>
      <c r="NTV46" s="196"/>
      <c r="NTW46" s="196"/>
      <c r="NTX46" s="647"/>
      <c r="NTY46" s="196"/>
      <c r="NTZ46" s="646"/>
      <c r="NUA46" s="1400"/>
      <c r="NUB46" s="1401"/>
      <c r="NUC46" s="196"/>
      <c r="NUD46" s="196"/>
      <c r="NUE46" s="196"/>
      <c r="NUF46" s="196"/>
      <c r="NUG46" s="196"/>
      <c r="NUH46" s="196"/>
      <c r="NUI46" s="647"/>
      <c r="NUJ46" s="196"/>
      <c r="NUK46" s="646"/>
      <c r="NUL46" s="1400"/>
      <c r="NUM46" s="1401"/>
      <c r="NUN46" s="196"/>
      <c r="NUO46" s="196"/>
      <c r="NUP46" s="196"/>
      <c r="NUQ46" s="196"/>
      <c r="NUR46" s="196"/>
      <c r="NUS46" s="196"/>
      <c r="NUT46" s="647"/>
      <c r="NUU46" s="196"/>
      <c r="NUV46" s="646"/>
      <c r="NUW46" s="1400"/>
      <c r="NUX46" s="1401"/>
      <c r="NUY46" s="196"/>
      <c r="NUZ46" s="196"/>
      <c r="NVA46" s="196"/>
      <c r="NVB46" s="196"/>
      <c r="NVC46" s="196"/>
      <c r="NVD46" s="196"/>
      <c r="NVE46" s="647"/>
      <c r="NVF46" s="196"/>
      <c r="NVG46" s="646"/>
      <c r="NVH46" s="1400"/>
      <c r="NVI46" s="1401"/>
      <c r="NVJ46" s="196"/>
      <c r="NVK46" s="196"/>
      <c r="NVL46" s="196"/>
      <c r="NVM46" s="196"/>
      <c r="NVN46" s="196"/>
      <c r="NVO46" s="196"/>
      <c r="NVP46" s="647"/>
      <c r="NVQ46" s="196"/>
      <c r="NVR46" s="646"/>
      <c r="NVS46" s="1400"/>
      <c r="NVT46" s="1401"/>
      <c r="NVU46" s="196"/>
      <c r="NVV46" s="196"/>
      <c r="NVW46" s="196"/>
      <c r="NVX46" s="196"/>
      <c r="NVY46" s="196"/>
      <c r="NVZ46" s="196"/>
      <c r="NWA46" s="647"/>
      <c r="NWB46" s="196"/>
      <c r="NWC46" s="646"/>
      <c r="NWD46" s="1400"/>
      <c r="NWE46" s="1401"/>
      <c r="NWF46" s="196"/>
      <c r="NWG46" s="196"/>
      <c r="NWH46" s="196"/>
      <c r="NWI46" s="196"/>
      <c r="NWJ46" s="196"/>
      <c r="NWK46" s="196"/>
      <c r="NWL46" s="647"/>
      <c r="NWM46" s="196"/>
      <c r="NWN46" s="646"/>
      <c r="NWO46" s="1400"/>
      <c r="NWP46" s="1401"/>
      <c r="NWQ46" s="196"/>
      <c r="NWR46" s="196"/>
      <c r="NWS46" s="196"/>
      <c r="NWT46" s="196"/>
      <c r="NWU46" s="196"/>
      <c r="NWV46" s="196"/>
      <c r="NWW46" s="647"/>
      <c r="NWX46" s="196"/>
      <c r="NWY46" s="646"/>
      <c r="NWZ46" s="1400"/>
      <c r="NXA46" s="1401"/>
      <c r="NXB46" s="196"/>
      <c r="NXC46" s="196"/>
      <c r="NXD46" s="196"/>
      <c r="NXE46" s="196"/>
      <c r="NXF46" s="196"/>
      <c r="NXG46" s="196"/>
      <c r="NXH46" s="647"/>
      <c r="NXI46" s="196"/>
      <c r="NXJ46" s="646"/>
      <c r="NXK46" s="1400"/>
      <c r="NXL46" s="1401"/>
      <c r="NXM46" s="196"/>
      <c r="NXN46" s="196"/>
      <c r="NXO46" s="196"/>
      <c r="NXP46" s="196"/>
      <c r="NXQ46" s="196"/>
      <c r="NXR46" s="196"/>
      <c r="NXS46" s="647"/>
      <c r="NXT46" s="196"/>
      <c r="NXU46" s="646"/>
      <c r="NXV46" s="1400"/>
      <c r="NXW46" s="1401"/>
      <c r="NXX46" s="196"/>
      <c r="NXY46" s="196"/>
      <c r="NXZ46" s="196"/>
      <c r="NYA46" s="196"/>
      <c r="NYB46" s="196"/>
      <c r="NYC46" s="196"/>
      <c r="NYD46" s="647"/>
      <c r="NYE46" s="196"/>
      <c r="NYF46" s="646"/>
      <c r="NYG46" s="1400"/>
      <c r="NYH46" s="1401"/>
      <c r="NYI46" s="196"/>
      <c r="NYJ46" s="196"/>
      <c r="NYK46" s="196"/>
      <c r="NYL46" s="196"/>
      <c r="NYM46" s="196"/>
      <c r="NYN46" s="196"/>
      <c r="NYO46" s="647"/>
      <c r="NYP46" s="196"/>
      <c r="NYQ46" s="646"/>
      <c r="NYR46" s="1400"/>
      <c r="NYS46" s="1401"/>
      <c r="NYT46" s="196"/>
      <c r="NYU46" s="196"/>
      <c r="NYV46" s="196"/>
      <c r="NYW46" s="196"/>
      <c r="NYX46" s="196"/>
      <c r="NYY46" s="196"/>
      <c r="NYZ46" s="647"/>
      <c r="NZA46" s="196"/>
      <c r="NZB46" s="646"/>
      <c r="NZC46" s="1400"/>
      <c r="NZD46" s="1401"/>
      <c r="NZE46" s="196"/>
      <c r="NZF46" s="196"/>
      <c r="NZG46" s="196"/>
      <c r="NZH46" s="196"/>
      <c r="NZI46" s="196"/>
      <c r="NZJ46" s="196"/>
      <c r="NZK46" s="647"/>
      <c r="NZL46" s="196"/>
      <c r="NZM46" s="646"/>
      <c r="NZN46" s="1400"/>
      <c r="NZO46" s="1401"/>
      <c r="NZP46" s="196"/>
      <c r="NZQ46" s="196"/>
      <c r="NZR46" s="196"/>
      <c r="NZS46" s="196"/>
      <c r="NZT46" s="196"/>
      <c r="NZU46" s="196"/>
      <c r="NZV46" s="647"/>
      <c r="NZW46" s="196"/>
      <c r="NZX46" s="646"/>
      <c r="NZY46" s="1400"/>
      <c r="NZZ46" s="1401"/>
      <c r="OAA46" s="196"/>
      <c r="OAB46" s="196"/>
      <c r="OAC46" s="196"/>
      <c r="OAD46" s="196"/>
      <c r="OAE46" s="196"/>
      <c r="OAF46" s="196"/>
      <c r="OAG46" s="647"/>
      <c r="OAH46" s="196"/>
      <c r="OAI46" s="646"/>
      <c r="OAJ46" s="1400"/>
      <c r="OAK46" s="1401"/>
      <c r="OAL46" s="196"/>
      <c r="OAM46" s="196"/>
      <c r="OAN46" s="196"/>
      <c r="OAO46" s="196"/>
      <c r="OAP46" s="196"/>
      <c r="OAQ46" s="196"/>
      <c r="OAR46" s="647"/>
      <c r="OAS46" s="196"/>
      <c r="OAT46" s="646"/>
      <c r="OAU46" s="1400"/>
      <c r="OAV46" s="1401"/>
      <c r="OAW46" s="196"/>
      <c r="OAX46" s="196"/>
      <c r="OAY46" s="196"/>
      <c r="OAZ46" s="196"/>
      <c r="OBA46" s="196"/>
      <c r="OBB46" s="196"/>
      <c r="OBC46" s="647"/>
      <c r="OBD46" s="196"/>
      <c r="OBE46" s="646"/>
      <c r="OBF46" s="1400"/>
      <c r="OBG46" s="1401"/>
      <c r="OBH46" s="196"/>
      <c r="OBI46" s="196"/>
      <c r="OBJ46" s="196"/>
      <c r="OBK46" s="196"/>
      <c r="OBL46" s="196"/>
      <c r="OBM46" s="196"/>
      <c r="OBN46" s="647"/>
      <c r="OBO46" s="196"/>
      <c r="OBP46" s="646"/>
      <c r="OBQ46" s="1400"/>
      <c r="OBR46" s="1401"/>
      <c r="OBS46" s="196"/>
      <c r="OBT46" s="196"/>
      <c r="OBU46" s="196"/>
      <c r="OBV46" s="196"/>
      <c r="OBW46" s="196"/>
      <c r="OBX46" s="196"/>
      <c r="OBY46" s="647"/>
      <c r="OBZ46" s="196"/>
      <c r="OCA46" s="646"/>
      <c r="OCB46" s="1400"/>
      <c r="OCC46" s="1401"/>
      <c r="OCD46" s="196"/>
      <c r="OCE46" s="196"/>
      <c r="OCF46" s="196"/>
      <c r="OCG46" s="196"/>
      <c r="OCH46" s="196"/>
      <c r="OCI46" s="196"/>
      <c r="OCJ46" s="647"/>
      <c r="OCK46" s="196"/>
      <c r="OCL46" s="646"/>
      <c r="OCM46" s="1400"/>
      <c r="OCN46" s="1401"/>
      <c r="OCO46" s="196"/>
      <c r="OCP46" s="196"/>
      <c r="OCQ46" s="196"/>
      <c r="OCR46" s="196"/>
      <c r="OCS46" s="196"/>
      <c r="OCT46" s="196"/>
      <c r="OCU46" s="647"/>
      <c r="OCV46" s="196"/>
      <c r="OCW46" s="646"/>
      <c r="OCX46" s="1400"/>
      <c r="OCY46" s="1401"/>
      <c r="OCZ46" s="196"/>
      <c r="ODA46" s="196"/>
      <c r="ODB46" s="196"/>
      <c r="ODC46" s="196"/>
      <c r="ODD46" s="196"/>
      <c r="ODE46" s="196"/>
      <c r="ODF46" s="647"/>
      <c r="ODG46" s="196"/>
      <c r="ODH46" s="646"/>
      <c r="ODI46" s="1400"/>
      <c r="ODJ46" s="1401"/>
      <c r="ODK46" s="196"/>
      <c r="ODL46" s="196"/>
      <c r="ODM46" s="196"/>
      <c r="ODN46" s="196"/>
      <c r="ODO46" s="196"/>
      <c r="ODP46" s="196"/>
      <c r="ODQ46" s="647"/>
      <c r="ODR46" s="196"/>
      <c r="ODS46" s="646"/>
      <c r="ODT46" s="1400"/>
      <c r="ODU46" s="1401"/>
      <c r="ODV46" s="196"/>
      <c r="ODW46" s="196"/>
      <c r="ODX46" s="196"/>
      <c r="ODY46" s="196"/>
      <c r="ODZ46" s="196"/>
      <c r="OEA46" s="196"/>
      <c r="OEB46" s="647"/>
      <c r="OEC46" s="196"/>
      <c r="OED46" s="646"/>
      <c r="OEE46" s="1400"/>
      <c r="OEF46" s="1401"/>
      <c r="OEG46" s="196"/>
      <c r="OEH46" s="196"/>
      <c r="OEI46" s="196"/>
      <c r="OEJ46" s="196"/>
      <c r="OEK46" s="196"/>
      <c r="OEL46" s="196"/>
      <c r="OEM46" s="647"/>
      <c r="OEN46" s="196"/>
      <c r="OEO46" s="646"/>
      <c r="OEP46" s="1400"/>
      <c r="OEQ46" s="1401"/>
      <c r="OER46" s="196"/>
      <c r="OES46" s="196"/>
      <c r="OET46" s="196"/>
      <c r="OEU46" s="196"/>
      <c r="OEV46" s="196"/>
      <c r="OEW46" s="196"/>
      <c r="OEX46" s="647"/>
      <c r="OEY46" s="196"/>
      <c r="OEZ46" s="646"/>
      <c r="OFA46" s="1400"/>
      <c r="OFB46" s="1401"/>
      <c r="OFC46" s="196"/>
      <c r="OFD46" s="196"/>
      <c r="OFE46" s="196"/>
      <c r="OFF46" s="196"/>
      <c r="OFG46" s="196"/>
      <c r="OFH46" s="196"/>
      <c r="OFI46" s="647"/>
      <c r="OFJ46" s="196"/>
      <c r="OFK46" s="646"/>
      <c r="OFL46" s="1400"/>
      <c r="OFM46" s="1401"/>
      <c r="OFN46" s="196"/>
      <c r="OFO46" s="196"/>
      <c r="OFP46" s="196"/>
      <c r="OFQ46" s="196"/>
      <c r="OFR46" s="196"/>
      <c r="OFS46" s="196"/>
      <c r="OFT46" s="647"/>
      <c r="OFU46" s="196"/>
      <c r="OFV46" s="646"/>
      <c r="OFW46" s="1400"/>
      <c r="OFX46" s="1401"/>
      <c r="OFY46" s="196"/>
      <c r="OFZ46" s="196"/>
      <c r="OGA46" s="196"/>
      <c r="OGB46" s="196"/>
      <c r="OGC46" s="196"/>
      <c r="OGD46" s="196"/>
      <c r="OGE46" s="647"/>
      <c r="OGF46" s="196"/>
      <c r="OGG46" s="646"/>
      <c r="OGH46" s="1400"/>
      <c r="OGI46" s="1401"/>
      <c r="OGJ46" s="196"/>
      <c r="OGK46" s="196"/>
      <c r="OGL46" s="196"/>
      <c r="OGM46" s="196"/>
      <c r="OGN46" s="196"/>
      <c r="OGO46" s="196"/>
      <c r="OGP46" s="647"/>
      <c r="OGQ46" s="196"/>
      <c r="OGR46" s="646"/>
      <c r="OGS46" s="1400"/>
      <c r="OGT46" s="1401"/>
      <c r="OGU46" s="196"/>
      <c r="OGV46" s="196"/>
      <c r="OGW46" s="196"/>
      <c r="OGX46" s="196"/>
      <c r="OGY46" s="196"/>
      <c r="OGZ46" s="196"/>
      <c r="OHA46" s="647"/>
      <c r="OHB46" s="196"/>
      <c r="OHC46" s="646"/>
      <c r="OHD46" s="1400"/>
      <c r="OHE46" s="1401"/>
      <c r="OHF46" s="196"/>
      <c r="OHG46" s="196"/>
      <c r="OHH46" s="196"/>
      <c r="OHI46" s="196"/>
      <c r="OHJ46" s="196"/>
      <c r="OHK46" s="196"/>
      <c r="OHL46" s="647"/>
      <c r="OHM46" s="196"/>
      <c r="OHN46" s="646"/>
      <c r="OHO46" s="1400"/>
      <c r="OHP46" s="1401"/>
      <c r="OHQ46" s="196"/>
      <c r="OHR46" s="196"/>
      <c r="OHS46" s="196"/>
      <c r="OHT46" s="196"/>
      <c r="OHU46" s="196"/>
      <c r="OHV46" s="196"/>
      <c r="OHW46" s="647"/>
      <c r="OHX46" s="196"/>
      <c r="OHY46" s="646"/>
      <c r="OHZ46" s="1400"/>
      <c r="OIA46" s="1401"/>
      <c r="OIB46" s="196"/>
      <c r="OIC46" s="196"/>
      <c r="OID46" s="196"/>
      <c r="OIE46" s="196"/>
      <c r="OIF46" s="196"/>
      <c r="OIG46" s="196"/>
      <c r="OIH46" s="647"/>
      <c r="OII46" s="196"/>
      <c r="OIJ46" s="646"/>
      <c r="OIK46" s="1400"/>
      <c r="OIL46" s="1401"/>
      <c r="OIM46" s="196"/>
      <c r="OIN46" s="196"/>
      <c r="OIO46" s="196"/>
      <c r="OIP46" s="196"/>
      <c r="OIQ46" s="196"/>
      <c r="OIR46" s="196"/>
      <c r="OIS46" s="647"/>
      <c r="OIT46" s="196"/>
      <c r="OIU46" s="646"/>
      <c r="OIV46" s="1400"/>
      <c r="OIW46" s="1401"/>
      <c r="OIX46" s="196"/>
      <c r="OIY46" s="196"/>
      <c r="OIZ46" s="196"/>
      <c r="OJA46" s="196"/>
      <c r="OJB46" s="196"/>
      <c r="OJC46" s="196"/>
      <c r="OJD46" s="647"/>
      <c r="OJE46" s="196"/>
      <c r="OJF46" s="646"/>
      <c r="OJG46" s="1400"/>
      <c r="OJH46" s="1401"/>
      <c r="OJI46" s="196"/>
      <c r="OJJ46" s="196"/>
      <c r="OJK46" s="196"/>
      <c r="OJL46" s="196"/>
      <c r="OJM46" s="196"/>
      <c r="OJN46" s="196"/>
      <c r="OJO46" s="647"/>
      <c r="OJP46" s="196"/>
      <c r="OJQ46" s="646"/>
      <c r="OJR46" s="1400"/>
      <c r="OJS46" s="1401"/>
      <c r="OJT46" s="196"/>
      <c r="OJU46" s="196"/>
      <c r="OJV46" s="196"/>
      <c r="OJW46" s="196"/>
      <c r="OJX46" s="196"/>
      <c r="OJY46" s="196"/>
      <c r="OJZ46" s="647"/>
      <c r="OKA46" s="196"/>
      <c r="OKB46" s="646"/>
      <c r="OKC46" s="1400"/>
      <c r="OKD46" s="1401"/>
      <c r="OKE46" s="196"/>
      <c r="OKF46" s="196"/>
      <c r="OKG46" s="196"/>
      <c r="OKH46" s="196"/>
      <c r="OKI46" s="196"/>
      <c r="OKJ46" s="196"/>
      <c r="OKK46" s="647"/>
      <c r="OKL46" s="196"/>
      <c r="OKM46" s="646"/>
      <c r="OKN46" s="1400"/>
      <c r="OKO46" s="1401"/>
      <c r="OKP46" s="196"/>
      <c r="OKQ46" s="196"/>
      <c r="OKR46" s="196"/>
      <c r="OKS46" s="196"/>
      <c r="OKT46" s="196"/>
      <c r="OKU46" s="196"/>
      <c r="OKV46" s="647"/>
      <c r="OKW46" s="196"/>
      <c r="OKX46" s="646"/>
      <c r="OKY46" s="1400"/>
      <c r="OKZ46" s="1401"/>
      <c r="OLA46" s="196"/>
      <c r="OLB46" s="196"/>
      <c r="OLC46" s="196"/>
      <c r="OLD46" s="196"/>
      <c r="OLE46" s="196"/>
      <c r="OLF46" s="196"/>
      <c r="OLG46" s="647"/>
      <c r="OLH46" s="196"/>
      <c r="OLI46" s="646"/>
      <c r="OLJ46" s="1400"/>
      <c r="OLK46" s="1401"/>
      <c r="OLL46" s="196"/>
      <c r="OLM46" s="196"/>
      <c r="OLN46" s="196"/>
      <c r="OLO46" s="196"/>
      <c r="OLP46" s="196"/>
      <c r="OLQ46" s="196"/>
      <c r="OLR46" s="647"/>
      <c r="OLS46" s="196"/>
      <c r="OLT46" s="646"/>
      <c r="OLU46" s="1400"/>
      <c r="OLV46" s="1401"/>
      <c r="OLW46" s="196"/>
      <c r="OLX46" s="196"/>
      <c r="OLY46" s="196"/>
      <c r="OLZ46" s="196"/>
      <c r="OMA46" s="196"/>
      <c r="OMB46" s="196"/>
      <c r="OMC46" s="647"/>
      <c r="OMD46" s="196"/>
      <c r="OME46" s="646"/>
      <c r="OMF46" s="1400"/>
      <c r="OMG46" s="1401"/>
      <c r="OMH46" s="196"/>
      <c r="OMI46" s="196"/>
      <c r="OMJ46" s="196"/>
      <c r="OMK46" s="196"/>
      <c r="OML46" s="196"/>
      <c r="OMM46" s="196"/>
      <c r="OMN46" s="647"/>
      <c r="OMO46" s="196"/>
      <c r="OMP46" s="646"/>
      <c r="OMQ46" s="1400"/>
      <c r="OMR46" s="1401"/>
      <c r="OMS46" s="196"/>
      <c r="OMT46" s="196"/>
      <c r="OMU46" s="196"/>
      <c r="OMV46" s="196"/>
      <c r="OMW46" s="196"/>
      <c r="OMX46" s="196"/>
      <c r="OMY46" s="647"/>
      <c r="OMZ46" s="196"/>
      <c r="ONA46" s="646"/>
      <c r="ONB46" s="1400"/>
      <c r="ONC46" s="1401"/>
      <c r="OND46" s="196"/>
      <c r="ONE46" s="196"/>
      <c r="ONF46" s="196"/>
      <c r="ONG46" s="196"/>
      <c r="ONH46" s="196"/>
      <c r="ONI46" s="196"/>
      <c r="ONJ46" s="647"/>
      <c r="ONK46" s="196"/>
      <c r="ONL46" s="646"/>
      <c r="ONM46" s="1400"/>
      <c r="ONN46" s="1401"/>
      <c r="ONO46" s="196"/>
      <c r="ONP46" s="196"/>
      <c r="ONQ46" s="196"/>
      <c r="ONR46" s="196"/>
      <c r="ONS46" s="196"/>
      <c r="ONT46" s="196"/>
      <c r="ONU46" s="647"/>
      <c r="ONV46" s="196"/>
      <c r="ONW46" s="646"/>
      <c r="ONX46" s="1400"/>
      <c r="ONY46" s="1401"/>
      <c r="ONZ46" s="196"/>
      <c r="OOA46" s="196"/>
      <c r="OOB46" s="196"/>
      <c r="OOC46" s="196"/>
      <c r="OOD46" s="196"/>
      <c r="OOE46" s="196"/>
      <c r="OOF46" s="647"/>
      <c r="OOG46" s="196"/>
      <c r="OOH46" s="646"/>
      <c r="OOI46" s="1400"/>
      <c r="OOJ46" s="1401"/>
      <c r="OOK46" s="196"/>
      <c r="OOL46" s="196"/>
      <c r="OOM46" s="196"/>
      <c r="OON46" s="196"/>
      <c r="OOO46" s="196"/>
      <c r="OOP46" s="196"/>
      <c r="OOQ46" s="647"/>
      <c r="OOR46" s="196"/>
      <c r="OOS46" s="646"/>
      <c r="OOT46" s="1400"/>
      <c r="OOU46" s="1401"/>
      <c r="OOV46" s="196"/>
      <c r="OOW46" s="196"/>
      <c r="OOX46" s="196"/>
      <c r="OOY46" s="196"/>
      <c r="OOZ46" s="196"/>
      <c r="OPA46" s="196"/>
      <c r="OPB46" s="647"/>
      <c r="OPC46" s="196"/>
      <c r="OPD46" s="646"/>
      <c r="OPE46" s="1400"/>
      <c r="OPF46" s="1401"/>
      <c r="OPG46" s="196"/>
      <c r="OPH46" s="196"/>
      <c r="OPI46" s="196"/>
      <c r="OPJ46" s="196"/>
      <c r="OPK46" s="196"/>
      <c r="OPL46" s="196"/>
      <c r="OPM46" s="647"/>
      <c r="OPN46" s="196"/>
      <c r="OPO46" s="646"/>
      <c r="OPP46" s="1400"/>
      <c r="OPQ46" s="1401"/>
      <c r="OPR46" s="196"/>
      <c r="OPS46" s="196"/>
      <c r="OPT46" s="196"/>
      <c r="OPU46" s="196"/>
      <c r="OPV46" s="196"/>
      <c r="OPW46" s="196"/>
      <c r="OPX46" s="647"/>
      <c r="OPY46" s="196"/>
      <c r="OPZ46" s="646"/>
      <c r="OQA46" s="1400"/>
      <c r="OQB46" s="1401"/>
      <c r="OQC46" s="196"/>
      <c r="OQD46" s="196"/>
      <c r="OQE46" s="196"/>
      <c r="OQF46" s="196"/>
      <c r="OQG46" s="196"/>
      <c r="OQH46" s="196"/>
      <c r="OQI46" s="647"/>
      <c r="OQJ46" s="196"/>
      <c r="OQK46" s="646"/>
      <c r="OQL46" s="1400"/>
      <c r="OQM46" s="1401"/>
      <c r="OQN46" s="196"/>
      <c r="OQO46" s="196"/>
      <c r="OQP46" s="196"/>
      <c r="OQQ46" s="196"/>
      <c r="OQR46" s="196"/>
      <c r="OQS46" s="196"/>
      <c r="OQT46" s="647"/>
      <c r="OQU46" s="196"/>
      <c r="OQV46" s="646"/>
      <c r="OQW46" s="1400"/>
      <c r="OQX46" s="1401"/>
      <c r="OQY46" s="196"/>
      <c r="OQZ46" s="196"/>
      <c r="ORA46" s="196"/>
      <c r="ORB46" s="196"/>
      <c r="ORC46" s="196"/>
      <c r="ORD46" s="196"/>
      <c r="ORE46" s="647"/>
      <c r="ORF46" s="196"/>
      <c r="ORG46" s="646"/>
      <c r="ORH46" s="1400"/>
      <c r="ORI46" s="1401"/>
      <c r="ORJ46" s="196"/>
      <c r="ORK46" s="196"/>
      <c r="ORL46" s="196"/>
      <c r="ORM46" s="196"/>
      <c r="ORN46" s="196"/>
      <c r="ORO46" s="196"/>
      <c r="ORP46" s="647"/>
      <c r="ORQ46" s="196"/>
      <c r="ORR46" s="646"/>
      <c r="ORS46" s="1400"/>
      <c r="ORT46" s="1401"/>
      <c r="ORU46" s="196"/>
      <c r="ORV46" s="196"/>
      <c r="ORW46" s="196"/>
      <c r="ORX46" s="196"/>
      <c r="ORY46" s="196"/>
      <c r="ORZ46" s="196"/>
      <c r="OSA46" s="647"/>
      <c r="OSB46" s="196"/>
      <c r="OSC46" s="646"/>
      <c r="OSD46" s="1400"/>
      <c r="OSE46" s="1401"/>
      <c r="OSF46" s="196"/>
      <c r="OSG46" s="196"/>
      <c r="OSH46" s="196"/>
      <c r="OSI46" s="196"/>
      <c r="OSJ46" s="196"/>
      <c r="OSK46" s="196"/>
      <c r="OSL46" s="647"/>
      <c r="OSM46" s="196"/>
      <c r="OSN46" s="646"/>
      <c r="OSO46" s="1400"/>
      <c r="OSP46" s="1401"/>
      <c r="OSQ46" s="196"/>
      <c r="OSR46" s="196"/>
      <c r="OSS46" s="196"/>
      <c r="OST46" s="196"/>
      <c r="OSU46" s="196"/>
      <c r="OSV46" s="196"/>
      <c r="OSW46" s="647"/>
      <c r="OSX46" s="196"/>
      <c r="OSY46" s="646"/>
      <c r="OSZ46" s="1400"/>
      <c r="OTA46" s="1401"/>
      <c r="OTB46" s="196"/>
      <c r="OTC46" s="196"/>
      <c r="OTD46" s="196"/>
      <c r="OTE46" s="196"/>
      <c r="OTF46" s="196"/>
      <c r="OTG46" s="196"/>
      <c r="OTH46" s="647"/>
      <c r="OTI46" s="196"/>
      <c r="OTJ46" s="646"/>
      <c r="OTK46" s="1400"/>
      <c r="OTL46" s="1401"/>
      <c r="OTM46" s="196"/>
      <c r="OTN46" s="196"/>
      <c r="OTO46" s="196"/>
      <c r="OTP46" s="196"/>
      <c r="OTQ46" s="196"/>
      <c r="OTR46" s="196"/>
      <c r="OTS46" s="647"/>
      <c r="OTT46" s="196"/>
      <c r="OTU46" s="646"/>
      <c r="OTV46" s="1400"/>
      <c r="OTW46" s="1401"/>
      <c r="OTX46" s="196"/>
      <c r="OTY46" s="196"/>
      <c r="OTZ46" s="196"/>
      <c r="OUA46" s="196"/>
      <c r="OUB46" s="196"/>
      <c r="OUC46" s="196"/>
      <c r="OUD46" s="647"/>
      <c r="OUE46" s="196"/>
      <c r="OUF46" s="646"/>
      <c r="OUG46" s="1400"/>
      <c r="OUH46" s="1401"/>
      <c r="OUI46" s="196"/>
      <c r="OUJ46" s="196"/>
      <c r="OUK46" s="196"/>
      <c r="OUL46" s="196"/>
      <c r="OUM46" s="196"/>
      <c r="OUN46" s="196"/>
      <c r="OUO46" s="647"/>
      <c r="OUP46" s="196"/>
      <c r="OUQ46" s="646"/>
      <c r="OUR46" s="1400"/>
      <c r="OUS46" s="1401"/>
      <c r="OUT46" s="196"/>
      <c r="OUU46" s="196"/>
      <c r="OUV46" s="196"/>
      <c r="OUW46" s="196"/>
      <c r="OUX46" s="196"/>
      <c r="OUY46" s="196"/>
      <c r="OUZ46" s="647"/>
      <c r="OVA46" s="196"/>
      <c r="OVB46" s="646"/>
      <c r="OVC46" s="1400"/>
      <c r="OVD46" s="1401"/>
      <c r="OVE46" s="196"/>
      <c r="OVF46" s="196"/>
      <c r="OVG46" s="196"/>
      <c r="OVH46" s="196"/>
      <c r="OVI46" s="196"/>
      <c r="OVJ46" s="196"/>
      <c r="OVK46" s="647"/>
      <c r="OVL46" s="196"/>
      <c r="OVM46" s="646"/>
      <c r="OVN46" s="1400"/>
      <c r="OVO46" s="1401"/>
      <c r="OVP46" s="196"/>
      <c r="OVQ46" s="196"/>
      <c r="OVR46" s="196"/>
      <c r="OVS46" s="196"/>
      <c r="OVT46" s="196"/>
      <c r="OVU46" s="196"/>
      <c r="OVV46" s="647"/>
      <c r="OVW46" s="196"/>
      <c r="OVX46" s="646"/>
      <c r="OVY46" s="1400"/>
      <c r="OVZ46" s="1401"/>
      <c r="OWA46" s="196"/>
      <c r="OWB46" s="196"/>
      <c r="OWC46" s="196"/>
      <c r="OWD46" s="196"/>
      <c r="OWE46" s="196"/>
      <c r="OWF46" s="196"/>
      <c r="OWG46" s="647"/>
      <c r="OWH46" s="196"/>
      <c r="OWI46" s="646"/>
      <c r="OWJ46" s="1400"/>
      <c r="OWK46" s="1401"/>
      <c r="OWL46" s="196"/>
      <c r="OWM46" s="196"/>
      <c r="OWN46" s="196"/>
      <c r="OWO46" s="196"/>
      <c r="OWP46" s="196"/>
      <c r="OWQ46" s="196"/>
      <c r="OWR46" s="647"/>
      <c r="OWS46" s="196"/>
      <c r="OWT46" s="646"/>
      <c r="OWU46" s="1400"/>
      <c r="OWV46" s="1401"/>
      <c r="OWW46" s="196"/>
      <c r="OWX46" s="196"/>
      <c r="OWY46" s="196"/>
      <c r="OWZ46" s="196"/>
      <c r="OXA46" s="196"/>
      <c r="OXB46" s="196"/>
      <c r="OXC46" s="647"/>
      <c r="OXD46" s="196"/>
      <c r="OXE46" s="646"/>
      <c r="OXF46" s="1400"/>
      <c r="OXG46" s="1401"/>
      <c r="OXH46" s="196"/>
      <c r="OXI46" s="196"/>
      <c r="OXJ46" s="196"/>
      <c r="OXK46" s="196"/>
      <c r="OXL46" s="196"/>
      <c r="OXM46" s="196"/>
      <c r="OXN46" s="647"/>
      <c r="OXO46" s="196"/>
      <c r="OXP46" s="646"/>
      <c r="OXQ46" s="1400"/>
      <c r="OXR46" s="1401"/>
      <c r="OXS46" s="196"/>
      <c r="OXT46" s="196"/>
      <c r="OXU46" s="196"/>
      <c r="OXV46" s="196"/>
      <c r="OXW46" s="196"/>
      <c r="OXX46" s="196"/>
      <c r="OXY46" s="647"/>
      <c r="OXZ46" s="196"/>
      <c r="OYA46" s="646"/>
      <c r="OYB46" s="1400"/>
      <c r="OYC46" s="1401"/>
      <c r="OYD46" s="196"/>
      <c r="OYE46" s="196"/>
      <c r="OYF46" s="196"/>
      <c r="OYG46" s="196"/>
      <c r="OYH46" s="196"/>
      <c r="OYI46" s="196"/>
      <c r="OYJ46" s="647"/>
      <c r="OYK46" s="196"/>
      <c r="OYL46" s="646"/>
      <c r="OYM46" s="1400"/>
      <c r="OYN46" s="1401"/>
      <c r="OYO46" s="196"/>
      <c r="OYP46" s="196"/>
      <c r="OYQ46" s="196"/>
      <c r="OYR46" s="196"/>
      <c r="OYS46" s="196"/>
      <c r="OYT46" s="196"/>
      <c r="OYU46" s="647"/>
      <c r="OYV46" s="196"/>
      <c r="OYW46" s="646"/>
      <c r="OYX46" s="1400"/>
      <c r="OYY46" s="1401"/>
      <c r="OYZ46" s="196"/>
      <c r="OZA46" s="196"/>
      <c r="OZB46" s="196"/>
      <c r="OZC46" s="196"/>
      <c r="OZD46" s="196"/>
      <c r="OZE46" s="196"/>
      <c r="OZF46" s="647"/>
      <c r="OZG46" s="196"/>
      <c r="OZH46" s="646"/>
      <c r="OZI46" s="1400"/>
      <c r="OZJ46" s="1401"/>
      <c r="OZK46" s="196"/>
      <c r="OZL46" s="196"/>
      <c r="OZM46" s="196"/>
      <c r="OZN46" s="196"/>
      <c r="OZO46" s="196"/>
      <c r="OZP46" s="196"/>
      <c r="OZQ46" s="647"/>
      <c r="OZR46" s="196"/>
      <c r="OZS46" s="646"/>
      <c r="OZT46" s="1400"/>
      <c r="OZU46" s="1401"/>
      <c r="OZV46" s="196"/>
      <c r="OZW46" s="196"/>
      <c r="OZX46" s="196"/>
      <c r="OZY46" s="196"/>
      <c r="OZZ46" s="196"/>
      <c r="PAA46" s="196"/>
      <c r="PAB46" s="647"/>
      <c r="PAC46" s="196"/>
      <c r="PAD46" s="646"/>
      <c r="PAE46" s="1400"/>
      <c r="PAF46" s="1401"/>
      <c r="PAG46" s="196"/>
      <c r="PAH46" s="196"/>
      <c r="PAI46" s="196"/>
      <c r="PAJ46" s="196"/>
      <c r="PAK46" s="196"/>
      <c r="PAL46" s="196"/>
      <c r="PAM46" s="647"/>
      <c r="PAN46" s="196"/>
      <c r="PAO46" s="646"/>
      <c r="PAP46" s="1400"/>
      <c r="PAQ46" s="1401"/>
      <c r="PAR46" s="196"/>
      <c r="PAS46" s="196"/>
      <c r="PAT46" s="196"/>
      <c r="PAU46" s="196"/>
      <c r="PAV46" s="196"/>
      <c r="PAW46" s="196"/>
      <c r="PAX46" s="647"/>
      <c r="PAY46" s="196"/>
      <c r="PAZ46" s="646"/>
      <c r="PBA46" s="1400"/>
      <c r="PBB46" s="1401"/>
      <c r="PBC46" s="196"/>
      <c r="PBD46" s="196"/>
      <c r="PBE46" s="196"/>
      <c r="PBF46" s="196"/>
      <c r="PBG46" s="196"/>
      <c r="PBH46" s="196"/>
      <c r="PBI46" s="647"/>
      <c r="PBJ46" s="196"/>
      <c r="PBK46" s="646"/>
      <c r="PBL46" s="1400"/>
      <c r="PBM46" s="1401"/>
      <c r="PBN46" s="196"/>
      <c r="PBO46" s="196"/>
      <c r="PBP46" s="196"/>
      <c r="PBQ46" s="196"/>
      <c r="PBR46" s="196"/>
      <c r="PBS46" s="196"/>
      <c r="PBT46" s="647"/>
      <c r="PBU46" s="196"/>
      <c r="PBV46" s="646"/>
      <c r="PBW46" s="1400"/>
      <c r="PBX46" s="1401"/>
      <c r="PBY46" s="196"/>
      <c r="PBZ46" s="196"/>
      <c r="PCA46" s="196"/>
      <c r="PCB46" s="196"/>
      <c r="PCC46" s="196"/>
      <c r="PCD46" s="196"/>
      <c r="PCE46" s="647"/>
      <c r="PCF46" s="196"/>
      <c r="PCG46" s="646"/>
      <c r="PCH46" s="1400"/>
      <c r="PCI46" s="1401"/>
      <c r="PCJ46" s="196"/>
      <c r="PCK46" s="196"/>
      <c r="PCL46" s="196"/>
      <c r="PCM46" s="196"/>
      <c r="PCN46" s="196"/>
      <c r="PCO46" s="196"/>
      <c r="PCP46" s="647"/>
      <c r="PCQ46" s="196"/>
      <c r="PCR46" s="646"/>
      <c r="PCS46" s="1400"/>
      <c r="PCT46" s="1401"/>
      <c r="PCU46" s="196"/>
      <c r="PCV46" s="196"/>
      <c r="PCW46" s="196"/>
      <c r="PCX46" s="196"/>
      <c r="PCY46" s="196"/>
      <c r="PCZ46" s="196"/>
      <c r="PDA46" s="647"/>
      <c r="PDB46" s="196"/>
      <c r="PDC46" s="646"/>
      <c r="PDD46" s="1400"/>
      <c r="PDE46" s="1401"/>
      <c r="PDF46" s="196"/>
      <c r="PDG46" s="196"/>
      <c r="PDH46" s="196"/>
      <c r="PDI46" s="196"/>
      <c r="PDJ46" s="196"/>
      <c r="PDK46" s="196"/>
      <c r="PDL46" s="647"/>
      <c r="PDM46" s="196"/>
      <c r="PDN46" s="646"/>
      <c r="PDO46" s="1400"/>
      <c r="PDP46" s="1401"/>
      <c r="PDQ46" s="196"/>
      <c r="PDR46" s="196"/>
      <c r="PDS46" s="196"/>
      <c r="PDT46" s="196"/>
      <c r="PDU46" s="196"/>
      <c r="PDV46" s="196"/>
      <c r="PDW46" s="647"/>
      <c r="PDX46" s="196"/>
      <c r="PDY46" s="646"/>
      <c r="PDZ46" s="1400"/>
      <c r="PEA46" s="1401"/>
      <c r="PEB46" s="196"/>
      <c r="PEC46" s="196"/>
      <c r="PED46" s="196"/>
      <c r="PEE46" s="196"/>
      <c r="PEF46" s="196"/>
      <c r="PEG46" s="196"/>
      <c r="PEH46" s="647"/>
      <c r="PEI46" s="196"/>
      <c r="PEJ46" s="646"/>
      <c r="PEK46" s="1400"/>
      <c r="PEL46" s="1401"/>
      <c r="PEM46" s="196"/>
      <c r="PEN46" s="196"/>
      <c r="PEO46" s="196"/>
      <c r="PEP46" s="196"/>
      <c r="PEQ46" s="196"/>
      <c r="PER46" s="196"/>
      <c r="PES46" s="647"/>
      <c r="PET46" s="196"/>
      <c r="PEU46" s="646"/>
      <c r="PEV46" s="1400"/>
      <c r="PEW46" s="1401"/>
      <c r="PEX46" s="196"/>
      <c r="PEY46" s="196"/>
      <c r="PEZ46" s="196"/>
      <c r="PFA46" s="196"/>
      <c r="PFB46" s="196"/>
      <c r="PFC46" s="196"/>
      <c r="PFD46" s="647"/>
      <c r="PFE46" s="196"/>
      <c r="PFF46" s="646"/>
      <c r="PFG46" s="1400"/>
      <c r="PFH46" s="1401"/>
      <c r="PFI46" s="196"/>
      <c r="PFJ46" s="196"/>
      <c r="PFK46" s="196"/>
      <c r="PFL46" s="196"/>
      <c r="PFM46" s="196"/>
      <c r="PFN46" s="196"/>
      <c r="PFO46" s="647"/>
      <c r="PFP46" s="196"/>
      <c r="PFQ46" s="646"/>
      <c r="PFR46" s="1400"/>
      <c r="PFS46" s="1401"/>
      <c r="PFT46" s="196"/>
      <c r="PFU46" s="196"/>
      <c r="PFV46" s="196"/>
      <c r="PFW46" s="196"/>
      <c r="PFX46" s="196"/>
      <c r="PFY46" s="196"/>
      <c r="PFZ46" s="647"/>
      <c r="PGA46" s="196"/>
      <c r="PGB46" s="646"/>
      <c r="PGC46" s="1400"/>
      <c r="PGD46" s="1401"/>
      <c r="PGE46" s="196"/>
      <c r="PGF46" s="196"/>
      <c r="PGG46" s="196"/>
      <c r="PGH46" s="196"/>
      <c r="PGI46" s="196"/>
      <c r="PGJ46" s="196"/>
      <c r="PGK46" s="647"/>
      <c r="PGL46" s="196"/>
      <c r="PGM46" s="646"/>
      <c r="PGN46" s="1400"/>
      <c r="PGO46" s="1401"/>
      <c r="PGP46" s="196"/>
      <c r="PGQ46" s="196"/>
      <c r="PGR46" s="196"/>
      <c r="PGS46" s="196"/>
      <c r="PGT46" s="196"/>
      <c r="PGU46" s="196"/>
      <c r="PGV46" s="647"/>
      <c r="PGW46" s="196"/>
      <c r="PGX46" s="646"/>
      <c r="PGY46" s="1400"/>
      <c r="PGZ46" s="1401"/>
      <c r="PHA46" s="196"/>
      <c r="PHB46" s="196"/>
      <c r="PHC46" s="196"/>
      <c r="PHD46" s="196"/>
      <c r="PHE46" s="196"/>
      <c r="PHF46" s="196"/>
      <c r="PHG46" s="647"/>
      <c r="PHH46" s="196"/>
      <c r="PHI46" s="646"/>
      <c r="PHJ46" s="1400"/>
      <c r="PHK46" s="1401"/>
      <c r="PHL46" s="196"/>
      <c r="PHM46" s="196"/>
      <c r="PHN46" s="196"/>
      <c r="PHO46" s="196"/>
      <c r="PHP46" s="196"/>
      <c r="PHQ46" s="196"/>
      <c r="PHR46" s="647"/>
      <c r="PHS46" s="196"/>
      <c r="PHT46" s="646"/>
      <c r="PHU46" s="1400"/>
      <c r="PHV46" s="1401"/>
      <c r="PHW46" s="196"/>
      <c r="PHX46" s="196"/>
      <c r="PHY46" s="196"/>
      <c r="PHZ46" s="196"/>
      <c r="PIA46" s="196"/>
      <c r="PIB46" s="196"/>
      <c r="PIC46" s="647"/>
      <c r="PID46" s="196"/>
      <c r="PIE46" s="646"/>
      <c r="PIF46" s="1400"/>
      <c r="PIG46" s="1401"/>
      <c r="PIH46" s="196"/>
      <c r="PII46" s="196"/>
      <c r="PIJ46" s="196"/>
      <c r="PIK46" s="196"/>
      <c r="PIL46" s="196"/>
      <c r="PIM46" s="196"/>
      <c r="PIN46" s="647"/>
      <c r="PIO46" s="196"/>
      <c r="PIP46" s="646"/>
      <c r="PIQ46" s="1400"/>
      <c r="PIR46" s="1401"/>
      <c r="PIS46" s="196"/>
      <c r="PIT46" s="196"/>
      <c r="PIU46" s="196"/>
      <c r="PIV46" s="196"/>
      <c r="PIW46" s="196"/>
      <c r="PIX46" s="196"/>
      <c r="PIY46" s="647"/>
      <c r="PIZ46" s="196"/>
      <c r="PJA46" s="646"/>
      <c r="PJB46" s="1400"/>
      <c r="PJC46" s="1401"/>
      <c r="PJD46" s="196"/>
      <c r="PJE46" s="196"/>
      <c r="PJF46" s="196"/>
      <c r="PJG46" s="196"/>
      <c r="PJH46" s="196"/>
      <c r="PJI46" s="196"/>
      <c r="PJJ46" s="647"/>
      <c r="PJK46" s="196"/>
      <c r="PJL46" s="646"/>
      <c r="PJM46" s="1400"/>
      <c r="PJN46" s="1401"/>
      <c r="PJO46" s="196"/>
      <c r="PJP46" s="196"/>
      <c r="PJQ46" s="196"/>
      <c r="PJR46" s="196"/>
      <c r="PJS46" s="196"/>
      <c r="PJT46" s="196"/>
      <c r="PJU46" s="647"/>
      <c r="PJV46" s="196"/>
      <c r="PJW46" s="646"/>
      <c r="PJX46" s="1400"/>
      <c r="PJY46" s="1401"/>
      <c r="PJZ46" s="196"/>
      <c r="PKA46" s="196"/>
      <c r="PKB46" s="196"/>
      <c r="PKC46" s="196"/>
      <c r="PKD46" s="196"/>
      <c r="PKE46" s="196"/>
      <c r="PKF46" s="647"/>
      <c r="PKG46" s="196"/>
      <c r="PKH46" s="646"/>
      <c r="PKI46" s="1400"/>
      <c r="PKJ46" s="1401"/>
      <c r="PKK46" s="196"/>
      <c r="PKL46" s="196"/>
      <c r="PKM46" s="196"/>
      <c r="PKN46" s="196"/>
      <c r="PKO46" s="196"/>
      <c r="PKP46" s="196"/>
      <c r="PKQ46" s="647"/>
      <c r="PKR46" s="196"/>
      <c r="PKS46" s="646"/>
      <c r="PKT46" s="1400"/>
      <c r="PKU46" s="1401"/>
      <c r="PKV46" s="196"/>
      <c r="PKW46" s="196"/>
      <c r="PKX46" s="196"/>
      <c r="PKY46" s="196"/>
      <c r="PKZ46" s="196"/>
      <c r="PLA46" s="196"/>
      <c r="PLB46" s="647"/>
      <c r="PLC46" s="196"/>
      <c r="PLD46" s="646"/>
      <c r="PLE46" s="1400"/>
      <c r="PLF46" s="1401"/>
      <c r="PLG46" s="196"/>
      <c r="PLH46" s="196"/>
      <c r="PLI46" s="196"/>
      <c r="PLJ46" s="196"/>
      <c r="PLK46" s="196"/>
      <c r="PLL46" s="196"/>
      <c r="PLM46" s="647"/>
      <c r="PLN46" s="196"/>
      <c r="PLO46" s="646"/>
      <c r="PLP46" s="1400"/>
      <c r="PLQ46" s="1401"/>
      <c r="PLR46" s="196"/>
      <c r="PLS46" s="196"/>
      <c r="PLT46" s="196"/>
      <c r="PLU46" s="196"/>
      <c r="PLV46" s="196"/>
      <c r="PLW46" s="196"/>
      <c r="PLX46" s="647"/>
      <c r="PLY46" s="196"/>
      <c r="PLZ46" s="646"/>
      <c r="PMA46" s="1400"/>
      <c r="PMB46" s="1401"/>
      <c r="PMC46" s="196"/>
      <c r="PMD46" s="196"/>
      <c r="PME46" s="196"/>
      <c r="PMF46" s="196"/>
      <c r="PMG46" s="196"/>
      <c r="PMH46" s="196"/>
      <c r="PMI46" s="647"/>
      <c r="PMJ46" s="196"/>
      <c r="PMK46" s="646"/>
      <c r="PML46" s="1400"/>
      <c r="PMM46" s="1401"/>
      <c r="PMN46" s="196"/>
      <c r="PMO46" s="196"/>
      <c r="PMP46" s="196"/>
      <c r="PMQ46" s="196"/>
      <c r="PMR46" s="196"/>
      <c r="PMS46" s="196"/>
      <c r="PMT46" s="647"/>
      <c r="PMU46" s="196"/>
      <c r="PMV46" s="646"/>
      <c r="PMW46" s="1400"/>
      <c r="PMX46" s="1401"/>
      <c r="PMY46" s="196"/>
      <c r="PMZ46" s="196"/>
      <c r="PNA46" s="196"/>
      <c r="PNB46" s="196"/>
      <c r="PNC46" s="196"/>
      <c r="PND46" s="196"/>
      <c r="PNE46" s="647"/>
      <c r="PNF46" s="196"/>
      <c r="PNG46" s="646"/>
      <c r="PNH46" s="1400"/>
      <c r="PNI46" s="1401"/>
      <c r="PNJ46" s="196"/>
      <c r="PNK46" s="196"/>
      <c r="PNL46" s="196"/>
      <c r="PNM46" s="196"/>
      <c r="PNN46" s="196"/>
      <c r="PNO46" s="196"/>
      <c r="PNP46" s="647"/>
      <c r="PNQ46" s="196"/>
      <c r="PNR46" s="646"/>
      <c r="PNS46" s="1400"/>
      <c r="PNT46" s="1401"/>
      <c r="PNU46" s="196"/>
      <c r="PNV46" s="196"/>
      <c r="PNW46" s="196"/>
      <c r="PNX46" s="196"/>
      <c r="PNY46" s="196"/>
      <c r="PNZ46" s="196"/>
      <c r="POA46" s="647"/>
      <c r="POB46" s="196"/>
      <c r="POC46" s="646"/>
      <c r="POD46" s="1400"/>
      <c r="POE46" s="1401"/>
      <c r="POF46" s="196"/>
      <c r="POG46" s="196"/>
      <c r="POH46" s="196"/>
      <c r="POI46" s="196"/>
      <c r="POJ46" s="196"/>
      <c r="POK46" s="196"/>
      <c r="POL46" s="647"/>
      <c r="POM46" s="196"/>
      <c r="PON46" s="646"/>
      <c r="POO46" s="1400"/>
      <c r="POP46" s="1401"/>
      <c r="POQ46" s="196"/>
      <c r="POR46" s="196"/>
      <c r="POS46" s="196"/>
      <c r="POT46" s="196"/>
      <c r="POU46" s="196"/>
      <c r="POV46" s="196"/>
      <c r="POW46" s="647"/>
      <c r="POX46" s="196"/>
      <c r="POY46" s="646"/>
      <c r="POZ46" s="1400"/>
      <c r="PPA46" s="1401"/>
      <c r="PPB46" s="196"/>
      <c r="PPC46" s="196"/>
      <c r="PPD46" s="196"/>
      <c r="PPE46" s="196"/>
      <c r="PPF46" s="196"/>
      <c r="PPG46" s="196"/>
      <c r="PPH46" s="647"/>
      <c r="PPI46" s="196"/>
      <c r="PPJ46" s="646"/>
      <c r="PPK46" s="1400"/>
      <c r="PPL46" s="1401"/>
      <c r="PPM46" s="196"/>
      <c r="PPN46" s="196"/>
      <c r="PPO46" s="196"/>
      <c r="PPP46" s="196"/>
      <c r="PPQ46" s="196"/>
      <c r="PPR46" s="196"/>
      <c r="PPS46" s="647"/>
      <c r="PPT46" s="196"/>
      <c r="PPU46" s="646"/>
      <c r="PPV46" s="1400"/>
      <c r="PPW46" s="1401"/>
      <c r="PPX46" s="196"/>
      <c r="PPY46" s="196"/>
      <c r="PPZ46" s="196"/>
      <c r="PQA46" s="196"/>
      <c r="PQB46" s="196"/>
      <c r="PQC46" s="196"/>
      <c r="PQD46" s="647"/>
      <c r="PQE46" s="196"/>
      <c r="PQF46" s="646"/>
      <c r="PQG46" s="1400"/>
      <c r="PQH46" s="1401"/>
      <c r="PQI46" s="196"/>
      <c r="PQJ46" s="196"/>
      <c r="PQK46" s="196"/>
      <c r="PQL46" s="196"/>
      <c r="PQM46" s="196"/>
      <c r="PQN46" s="196"/>
      <c r="PQO46" s="647"/>
      <c r="PQP46" s="196"/>
      <c r="PQQ46" s="646"/>
      <c r="PQR46" s="1400"/>
      <c r="PQS46" s="1401"/>
      <c r="PQT46" s="196"/>
      <c r="PQU46" s="196"/>
      <c r="PQV46" s="196"/>
      <c r="PQW46" s="196"/>
      <c r="PQX46" s="196"/>
      <c r="PQY46" s="196"/>
      <c r="PQZ46" s="647"/>
      <c r="PRA46" s="196"/>
      <c r="PRB46" s="646"/>
      <c r="PRC46" s="1400"/>
      <c r="PRD46" s="1401"/>
      <c r="PRE46" s="196"/>
      <c r="PRF46" s="196"/>
      <c r="PRG46" s="196"/>
      <c r="PRH46" s="196"/>
      <c r="PRI46" s="196"/>
      <c r="PRJ46" s="196"/>
      <c r="PRK46" s="647"/>
      <c r="PRL46" s="196"/>
      <c r="PRM46" s="646"/>
      <c r="PRN46" s="1400"/>
      <c r="PRO46" s="1401"/>
      <c r="PRP46" s="196"/>
      <c r="PRQ46" s="196"/>
      <c r="PRR46" s="196"/>
      <c r="PRS46" s="196"/>
      <c r="PRT46" s="196"/>
      <c r="PRU46" s="196"/>
      <c r="PRV46" s="647"/>
      <c r="PRW46" s="196"/>
      <c r="PRX46" s="646"/>
      <c r="PRY46" s="1400"/>
      <c r="PRZ46" s="1401"/>
      <c r="PSA46" s="196"/>
      <c r="PSB46" s="196"/>
      <c r="PSC46" s="196"/>
      <c r="PSD46" s="196"/>
      <c r="PSE46" s="196"/>
      <c r="PSF46" s="196"/>
      <c r="PSG46" s="647"/>
      <c r="PSH46" s="196"/>
      <c r="PSI46" s="646"/>
      <c r="PSJ46" s="1400"/>
      <c r="PSK46" s="1401"/>
      <c r="PSL46" s="196"/>
      <c r="PSM46" s="196"/>
      <c r="PSN46" s="196"/>
      <c r="PSO46" s="196"/>
      <c r="PSP46" s="196"/>
      <c r="PSQ46" s="196"/>
      <c r="PSR46" s="647"/>
      <c r="PSS46" s="196"/>
      <c r="PST46" s="646"/>
      <c r="PSU46" s="1400"/>
      <c r="PSV46" s="1401"/>
      <c r="PSW46" s="196"/>
      <c r="PSX46" s="196"/>
      <c r="PSY46" s="196"/>
      <c r="PSZ46" s="196"/>
      <c r="PTA46" s="196"/>
      <c r="PTB46" s="196"/>
      <c r="PTC46" s="647"/>
      <c r="PTD46" s="196"/>
      <c r="PTE46" s="646"/>
      <c r="PTF46" s="1400"/>
      <c r="PTG46" s="1401"/>
      <c r="PTH46" s="196"/>
      <c r="PTI46" s="196"/>
      <c r="PTJ46" s="196"/>
      <c r="PTK46" s="196"/>
      <c r="PTL46" s="196"/>
      <c r="PTM46" s="196"/>
      <c r="PTN46" s="647"/>
      <c r="PTO46" s="196"/>
      <c r="PTP46" s="646"/>
      <c r="PTQ46" s="1400"/>
      <c r="PTR46" s="1401"/>
      <c r="PTS46" s="196"/>
      <c r="PTT46" s="196"/>
      <c r="PTU46" s="196"/>
      <c r="PTV46" s="196"/>
      <c r="PTW46" s="196"/>
      <c r="PTX46" s="196"/>
      <c r="PTY46" s="647"/>
      <c r="PTZ46" s="196"/>
      <c r="PUA46" s="646"/>
      <c r="PUB46" s="1400"/>
      <c r="PUC46" s="1401"/>
      <c r="PUD46" s="196"/>
      <c r="PUE46" s="196"/>
      <c r="PUF46" s="196"/>
      <c r="PUG46" s="196"/>
      <c r="PUH46" s="196"/>
      <c r="PUI46" s="196"/>
      <c r="PUJ46" s="647"/>
      <c r="PUK46" s="196"/>
      <c r="PUL46" s="646"/>
      <c r="PUM46" s="1400"/>
      <c r="PUN46" s="1401"/>
      <c r="PUO46" s="196"/>
      <c r="PUP46" s="196"/>
      <c r="PUQ46" s="196"/>
      <c r="PUR46" s="196"/>
      <c r="PUS46" s="196"/>
      <c r="PUT46" s="196"/>
      <c r="PUU46" s="647"/>
      <c r="PUV46" s="196"/>
      <c r="PUW46" s="646"/>
      <c r="PUX46" s="1400"/>
      <c r="PUY46" s="1401"/>
      <c r="PUZ46" s="196"/>
      <c r="PVA46" s="196"/>
      <c r="PVB46" s="196"/>
      <c r="PVC46" s="196"/>
      <c r="PVD46" s="196"/>
      <c r="PVE46" s="196"/>
      <c r="PVF46" s="647"/>
      <c r="PVG46" s="196"/>
      <c r="PVH46" s="646"/>
      <c r="PVI46" s="1400"/>
      <c r="PVJ46" s="1401"/>
      <c r="PVK46" s="196"/>
      <c r="PVL46" s="196"/>
      <c r="PVM46" s="196"/>
      <c r="PVN46" s="196"/>
      <c r="PVO46" s="196"/>
      <c r="PVP46" s="196"/>
      <c r="PVQ46" s="647"/>
      <c r="PVR46" s="196"/>
      <c r="PVS46" s="646"/>
      <c r="PVT46" s="1400"/>
      <c r="PVU46" s="1401"/>
      <c r="PVV46" s="196"/>
      <c r="PVW46" s="196"/>
      <c r="PVX46" s="196"/>
      <c r="PVY46" s="196"/>
      <c r="PVZ46" s="196"/>
      <c r="PWA46" s="196"/>
      <c r="PWB46" s="647"/>
      <c r="PWC46" s="196"/>
      <c r="PWD46" s="646"/>
      <c r="PWE46" s="1400"/>
      <c r="PWF46" s="1401"/>
      <c r="PWG46" s="196"/>
      <c r="PWH46" s="196"/>
      <c r="PWI46" s="196"/>
      <c r="PWJ46" s="196"/>
      <c r="PWK46" s="196"/>
      <c r="PWL46" s="196"/>
      <c r="PWM46" s="647"/>
      <c r="PWN46" s="196"/>
      <c r="PWO46" s="646"/>
      <c r="PWP46" s="1400"/>
      <c r="PWQ46" s="1401"/>
      <c r="PWR46" s="196"/>
      <c r="PWS46" s="196"/>
      <c r="PWT46" s="196"/>
      <c r="PWU46" s="196"/>
      <c r="PWV46" s="196"/>
      <c r="PWW46" s="196"/>
      <c r="PWX46" s="647"/>
      <c r="PWY46" s="196"/>
      <c r="PWZ46" s="646"/>
      <c r="PXA46" s="1400"/>
      <c r="PXB46" s="1401"/>
      <c r="PXC46" s="196"/>
      <c r="PXD46" s="196"/>
      <c r="PXE46" s="196"/>
      <c r="PXF46" s="196"/>
      <c r="PXG46" s="196"/>
      <c r="PXH46" s="196"/>
      <c r="PXI46" s="647"/>
      <c r="PXJ46" s="196"/>
      <c r="PXK46" s="646"/>
      <c r="PXL46" s="1400"/>
      <c r="PXM46" s="1401"/>
      <c r="PXN46" s="196"/>
      <c r="PXO46" s="196"/>
      <c r="PXP46" s="196"/>
      <c r="PXQ46" s="196"/>
      <c r="PXR46" s="196"/>
      <c r="PXS46" s="196"/>
      <c r="PXT46" s="647"/>
      <c r="PXU46" s="196"/>
      <c r="PXV46" s="646"/>
      <c r="PXW46" s="1400"/>
      <c r="PXX46" s="1401"/>
      <c r="PXY46" s="196"/>
      <c r="PXZ46" s="196"/>
      <c r="PYA46" s="196"/>
      <c r="PYB46" s="196"/>
      <c r="PYC46" s="196"/>
      <c r="PYD46" s="196"/>
      <c r="PYE46" s="647"/>
      <c r="PYF46" s="196"/>
      <c r="PYG46" s="646"/>
      <c r="PYH46" s="1400"/>
      <c r="PYI46" s="1401"/>
      <c r="PYJ46" s="196"/>
      <c r="PYK46" s="196"/>
      <c r="PYL46" s="196"/>
      <c r="PYM46" s="196"/>
      <c r="PYN46" s="196"/>
      <c r="PYO46" s="196"/>
      <c r="PYP46" s="647"/>
      <c r="PYQ46" s="196"/>
      <c r="PYR46" s="646"/>
      <c r="PYS46" s="1400"/>
      <c r="PYT46" s="1401"/>
      <c r="PYU46" s="196"/>
      <c r="PYV46" s="196"/>
      <c r="PYW46" s="196"/>
      <c r="PYX46" s="196"/>
      <c r="PYY46" s="196"/>
      <c r="PYZ46" s="196"/>
      <c r="PZA46" s="647"/>
      <c r="PZB46" s="196"/>
      <c r="PZC46" s="646"/>
      <c r="PZD46" s="1400"/>
      <c r="PZE46" s="1401"/>
      <c r="PZF46" s="196"/>
      <c r="PZG46" s="196"/>
      <c r="PZH46" s="196"/>
      <c r="PZI46" s="196"/>
      <c r="PZJ46" s="196"/>
      <c r="PZK46" s="196"/>
      <c r="PZL46" s="647"/>
      <c r="PZM46" s="196"/>
      <c r="PZN46" s="646"/>
      <c r="PZO46" s="1400"/>
      <c r="PZP46" s="1401"/>
      <c r="PZQ46" s="196"/>
      <c r="PZR46" s="196"/>
      <c r="PZS46" s="196"/>
      <c r="PZT46" s="196"/>
      <c r="PZU46" s="196"/>
      <c r="PZV46" s="196"/>
      <c r="PZW46" s="647"/>
      <c r="PZX46" s="196"/>
      <c r="PZY46" s="646"/>
      <c r="PZZ46" s="1400"/>
      <c r="QAA46" s="1401"/>
      <c r="QAB46" s="196"/>
      <c r="QAC46" s="196"/>
      <c r="QAD46" s="196"/>
      <c r="QAE46" s="196"/>
      <c r="QAF46" s="196"/>
      <c r="QAG46" s="196"/>
      <c r="QAH46" s="647"/>
      <c r="QAI46" s="196"/>
      <c r="QAJ46" s="646"/>
      <c r="QAK46" s="1400"/>
      <c r="QAL46" s="1401"/>
      <c r="QAM46" s="196"/>
      <c r="QAN46" s="196"/>
      <c r="QAO46" s="196"/>
      <c r="QAP46" s="196"/>
      <c r="QAQ46" s="196"/>
      <c r="QAR46" s="196"/>
      <c r="QAS46" s="647"/>
      <c r="QAT46" s="196"/>
      <c r="QAU46" s="646"/>
      <c r="QAV46" s="1400"/>
      <c r="QAW46" s="1401"/>
      <c r="QAX46" s="196"/>
      <c r="QAY46" s="196"/>
      <c r="QAZ46" s="196"/>
      <c r="QBA46" s="196"/>
      <c r="QBB46" s="196"/>
      <c r="QBC46" s="196"/>
      <c r="QBD46" s="647"/>
      <c r="QBE46" s="196"/>
      <c r="QBF46" s="646"/>
      <c r="QBG46" s="1400"/>
      <c r="QBH46" s="1401"/>
      <c r="QBI46" s="196"/>
      <c r="QBJ46" s="196"/>
      <c r="QBK46" s="196"/>
      <c r="QBL46" s="196"/>
      <c r="QBM46" s="196"/>
      <c r="QBN46" s="196"/>
      <c r="QBO46" s="647"/>
      <c r="QBP46" s="196"/>
      <c r="QBQ46" s="646"/>
      <c r="QBR46" s="1400"/>
      <c r="QBS46" s="1401"/>
      <c r="QBT46" s="196"/>
      <c r="QBU46" s="196"/>
      <c r="QBV46" s="196"/>
      <c r="QBW46" s="196"/>
      <c r="QBX46" s="196"/>
      <c r="QBY46" s="196"/>
      <c r="QBZ46" s="647"/>
      <c r="QCA46" s="196"/>
      <c r="QCB46" s="646"/>
      <c r="QCC46" s="1400"/>
      <c r="QCD46" s="1401"/>
      <c r="QCE46" s="196"/>
      <c r="QCF46" s="196"/>
      <c r="QCG46" s="196"/>
      <c r="QCH46" s="196"/>
      <c r="QCI46" s="196"/>
      <c r="QCJ46" s="196"/>
      <c r="QCK46" s="647"/>
      <c r="QCL46" s="196"/>
      <c r="QCM46" s="646"/>
      <c r="QCN46" s="1400"/>
      <c r="QCO46" s="1401"/>
      <c r="QCP46" s="196"/>
      <c r="QCQ46" s="196"/>
      <c r="QCR46" s="196"/>
      <c r="QCS46" s="196"/>
      <c r="QCT46" s="196"/>
      <c r="QCU46" s="196"/>
      <c r="QCV46" s="647"/>
      <c r="QCW46" s="196"/>
      <c r="QCX46" s="646"/>
      <c r="QCY46" s="1400"/>
      <c r="QCZ46" s="1401"/>
      <c r="QDA46" s="196"/>
      <c r="QDB46" s="196"/>
      <c r="QDC46" s="196"/>
      <c r="QDD46" s="196"/>
      <c r="QDE46" s="196"/>
      <c r="QDF46" s="196"/>
      <c r="QDG46" s="647"/>
      <c r="QDH46" s="196"/>
      <c r="QDI46" s="646"/>
      <c r="QDJ46" s="1400"/>
      <c r="QDK46" s="1401"/>
      <c r="QDL46" s="196"/>
      <c r="QDM46" s="196"/>
      <c r="QDN46" s="196"/>
      <c r="QDO46" s="196"/>
      <c r="QDP46" s="196"/>
      <c r="QDQ46" s="196"/>
      <c r="QDR46" s="647"/>
      <c r="QDS46" s="196"/>
      <c r="QDT46" s="646"/>
      <c r="QDU46" s="1400"/>
      <c r="QDV46" s="1401"/>
      <c r="QDW46" s="196"/>
      <c r="QDX46" s="196"/>
      <c r="QDY46" s="196"/>
      <c r="QDZ46" s="196"/>
      <c r="QEA46" s="196"/>
      <c r="QEB46" s="196"/>
      <c r="QEC46" s="647"/>
      <c r="QED46" s="196"/>
      <c r="QEE46" s="646"/>
      <c r="QEF46" s="1400"/>
      <c r="QEG46" s="1401"/>
      <c r="QEH46" s="196"/>
      <c r="QEI46" s="196"/>
      <c r="QEJ46" s="196"/>
      <c r="QEK46" s="196"/>
      <c r="QEL46" s="196"/>
      <c r="QEM46" s="196"/>
      <c r="QEN46" s="647"/>
      <c r="QEO46" s="196"/>
      <c r="QEP46" s="646"/>
      <c r="QEQ46" s="1400"/>
      <c r="QER46" s="1401"/>
      <c r="QES46" s="196"/>
      <c r="QET46" s="196"/>
      <c r="QEU46" s="196"/>
      <c r="QEV46" s="196"/>
      <c r="QEW46" s="196"/>
      <c r="QEX46" s="196"/>
      <c r="QEY46" s="647"/>
      <c r="QEZ46" s="196"/>
      <c r="QFA46" s="646"/>
      <c r="QFB46" s="1400"/>
      <c r="QFC46" s="1401"/>
      <c r="QFD46" s="196"/>
      <c r="QFE46" s="196"/>
      <c r="QFF46" s="196"/>
      <c r="QFG46" s="196"/>
      <c r="QFH46" s="196"/>
      <c r="QFI46" s="196"/>
      <c r="QFJ46" s="647"/>
      <c r="QFK46" s="196"/>
      <c r="QFL46" s="646"/>
      <c r="QFM46" s="1400"/>
      <c r="QFN46" s="1401"/>
      <c r="QFO46" s="196"/>
      <c r="QFP46" s="196"/>
      <c r="QFQ46" s="196"/>
      <c r="QFR46" s="196"/>
      <c r="QFS46" s="196"/>
      <c r="QFT46" s="196"/>
      <c r="QFU46" s="647"/>
      <c r="QFV46" s="196"/>
      <c r="QFW46" s="646"/>
      <c r="QFX46" s="1400"/>
      <c r="QFY46" s="1401"/>
      <c r="QFZ46" s="196"/>
      <c r="QGA46" s="196"/>
      <c r="QGB46" s="196"/>
      <c r="QGC46" s="196"/>
      <c r="QGD46" s="196"/>
      <c r="QGE46" s="196"/>
      <c r="QGF46" s="647"/>
      <c r="QGG46" s="196"/>
      <c r="QGH46" s="646"/>
      <c r="QGI46" s="1400"/>
      <c r="QGJ46" s="1401"/>
      <c r="QGK46" s="196"/>
      <c r="QGL46" s="196"/>
      <c r="QGM46" s="196"/>
      <c r="QGN46" s="196"/>
      <c r="QGO46" s="196"/>
      <c r="QGP46" s="196"/>
      <c r="QGQ46" s="647"/>
      <c r="QGR46" s="196"/>
      <c r="QGS46" s="646"/>
      <c r="QGT46" s="1400"/>
      <c r="QGU46" s="1401"/>
      <c r="QGV46" s="196"/>
      <c r="QGW46" s="196"/>
      <c r="QGX46" s="196"/>
      <c r="QGY46" s="196"/>
      <c r="QGZ46" s="196"/>
      <c r="QHA46" s="196"/>
      <c r="QHB46" s="647"/>
      <c r="QHC46" s="196"/>
      <c r="QHD46" s="646"/>
      <c r="QHE46" s="1400"/>
      <c r="QHF46" s="1401"/>
      <c r="QHG46" s="196"/>
      <c r="QHH46" s="196"/>
      <c r="QHI46" s="196"/>
      <c r="QHJ46" s="196"/>
      <c r="QHK46" s="196"/>
      <c r="QHL46" s="196"/>
      <c r="QHM46" s="647"/>
      <c r="QHN46" s="196"/>
      <c r="QHO46" s="646"/>
      <c r="QHP46" s="1400"/>
      <c r="QHQ46" s="1401"/>
      <c r="QHR46" s="196"/>
      <c r="QHS46" s="196"/>
      <c r="QHT46" s="196"/>
      <c r="QHU46" s="196"/>
      <c r="QHV46" s="196"/>
      <c r="QHW46" s="196"/>
      <c r="QHX46" s="647"/>
      <c r="QHY46" s="196"/>
      <c r="QHZ46" s="646"/>
      <c r="QIA46" s="1400"/>
      <c r="QIB46" s="1401"/>
      <c r="QIC46" s="196"/>
      <c r="QID46" s="196"/>
      <c r="QIE46" s="196"/>
      <c r="QIF46" s="196"/>
      <c r="QIG46" s="196"/>
      <c r="QIH46" s="196"/>
      <c r="QII46" s="647"/>
      <c r="QIJ46" s="196"/>
      <c r="QIK46" s="646"/>
      <c r="QIL46" s="1400"/>
      <c r="QIM46" s="1401"/>
      <c r="QIN46" s="196"/>
      <c r="QIO46" s="196"/>
      <c r="QIP46" s="196"/>
      <c r="QIQ46" s="196"/>
      <c r="QIR46" s="196"/>
      <c r="QIS46" s="196"/>
      <c r="QIT46" s="647"/>
      <c r="QIU46" s="196"/>
      <c r="QIV46" s="646"/>
      <c r="QIW46" s="1400"/>
      <c r="QIX46" s="1401"/>
      <c r="QIY46" s="196"/>
      <c r="QIZ46" s="196"/>
      <c r="QJA46" s="196"/>
      <c r="QJB46" s="196"/>
      <c r="QJC46" s="196"/>
      <c r="QJD46" s="196"/>
      <c r="QJE46" s="647"/>
      <c r="QJF46" s="196"/>
      <c r="QJG46" s="646"/>
      <c r="QJH46" s="1400"/>
      <c r="QJI46" s="1401"/>
      <c r="QJJ46" s="196"/>
      <c r="QJK46" s="196"/>
      <c r="QJL46" s="196"/>
      <c r="QJM46" s="196"/>
      <c r="QJN46" s="196"/>
      <c r="QJO46" s="196"/>
      <c r="QJP46" s="647"/>
      <c r="QJQ46" s="196"/>
      <c r="QJR46" s="646"/>
      <c r="QJS46" s="1400"/>
      <c r="QJT46" s="1401"/>
      <c r="QJU46" s="196"/>
      <c r="QJV46" s="196"/>
      <c r="QJW46" s="196"/>
      <c r="QJX46" s="196"/>
      <c r="QJY46" s="196"/>
      <c r="QJZ46" s="196"/>
      <c r="QKA46" s="647"/>
      <c r="QKB46" s="196"/>
      <c r="QKC46" s="646"/>
      <c r="QKD46" s="1400"/>
      <c r="QKE46" s="1401"/>
      <c r="QKF46" s="196"/>
      <c r="QKG46" s="196"/>
      <c r="QKH46" s="196"/>
      <c r="QKI46" s="196"/>
      <c r="QKJ46" s="196"/>
      <c r="QKK46" s="196"/>
      <c r="QKL46" s="647"/>
      <c r="QKM46" s="196"/>
      <c r="QKN46" s="646"/>
      <c r="QKO46" s="1400"/>
      <c r="QKP46" s="1401"/>
      <c r="QKQ46" s="196"/>
      <c r="QKR46" s="196"/>
      <c r="QKS46" s="196"/>
      <c r="QKT46" s="196"/>
      <c r="QKU46" s="196"/>
      <c r="QKV46" s="196"/>
      <c r="QKW46" s="647"/>
      <c r="QKX46" s="196"/>
      <c r="QKY46" s="646"/>
      <c r="QKZ46" s="1400"/>
      <c r="QLA46" s="1401"/>
      <c r="QLB46" s="196"/>
      <c r="QLC46" s="196"/>
      <c r="QLD46" s="196"/>
      <c r="QLE46" s="196"/>
      <c r="QLF46" s="196"/>
      <c r="QLG46" s="196"/>
      <c r="QLH46" s="647"/>
      <c r="QLI46" s="196"/>
      <c r="QLJ46" s="646"/>
      <c r="QLK46" s="1400"/>
      <c r="QLL46" s="1401"/>
      <c r="QLM46" s="196"/>
      <c r="QLN46" s="196"/>
      <c r="QLO46" s="196"/>
      <c r="QLP46" s="196"/>
      <c r="QLQ46" s="196"/>
      <c r="QLR46" s="196"/>
      <c r="QLS46" s="647"/>
      <c r="QLT46" s="196"/>
      <c r="QLU46" s="646"/>
      <c r="QLV46" s="1400"/>
      <c r="QLW46" s="1401"/>
      <c r="QLX46" s="196"/>
      <c r="QLY46" s="196"/>
      <c r="QLZ46" s="196"/>
      <c r="QMA46" s="196"/>
      <c r="QMB46" s="196"/>
      <c r="QMC46" s="196"/>
      <c r="QMD46" s="647"/>
      <c r="QME46" s="196"/>
      <c r="QMF46" s="646"/>
      <c r="QMG46" s="1400"/>
      <c r="QMH46" s="1401"/>
      <c r="QMI46" s="196"/>
      <c r="QMJ46" s="196"/>
      <c r="QMK46" s="196"/>
      <c r="QML46" s="196"/>
      <c r="QMM46" s="196"/>
      <c r="QMN46" s="196"/>
      <c r="QMO46" s="647"/>
      <c r="QMP46" s="196"/>
      <c r="QMQ46" s="646"/>
      <c r="QMR46" s="1400"/>
      <c r="QMS46" s="1401"/>
      <c r="QMT46" s="196"/>
      <c r="QMU46" s="196"/>
      <c r="QMV46" s="196"/>
      <c r="QMW46" s="196"/>
      <c r="QMX46" s="196"/>
      <c r="QMY46" s="196"/>
      <c r="QMZ46" s="647"/>
      <c r="QNA46" s="196"/>
      <c r="QNB46" s="646"/>
      <c r="QNC46" s="1400"/>
      <c r="QND46" s="1401"/>
      <c r="QNE46" s="196"/>
      <c r="QNF46" s="196"/>
      <c r="QNG46" s="196"/>
      <c r="QNH46" s="196"/>
      <c r="QNI46" s="196"/>
      <c r="QNJ46" s="196"/>
      <c r="QNK46" s="647"/>
      <c r="QNL46" s="196"/>
      <c r="QNM46" s="646"/>
      <c r="QNN46" s="1400"/>
      <c r="QNO46" s="1401"/>
      <c r="QNP46" s="196"/>
      <c r="QNQ46" s="196"/>
      <c r="QNR46" s="196"/>
      <c r="QNS46" s="196"/>
      <c r="QNT46" s="196"/>
      <c r="QNU46" s="196"/>
      <c r="QNV46" s="647"/>
      <c r="QNW46" s="196"/>
      <c r="QNX46" s="646"/>
      <c r="QNY46" s="1400"/>
      <c r="QNZ46" s="1401"/>
      <c r="QOA46" s="196"/>
      <c r="QOB46" s="196"/>
      <c r="QOC46" s="196"/>
      <c r="QOD46" s="196"/>
      <c r="QOE46" s="196"/>
      <c r="QOF46" s="196"/>
      <c r="QOG46" s="647"/>
      <c r="QOH46" s="196"/>
      <c r="QOI46" s="646"/>
      <c r="QOJ46" s="1400"/>
      <c r="QOK46" s="1401"/>
      <c r="QOL46" s="196"/>
      <c r="QOM46" s="196"/>
      <c r="QON46" s="196"/>
      <c r="QOO46" s="196"/>
      <c r="QOP46" s="196"/>
      <c r="QOQ46" s="196"/>
      <c r="QOR46" s="647"/>
      <c r="QOS46" s="196"/>
      <c r="QOT46" s="646"/>
      <c r="QOU46" s="1400"/>
      <c r="QOV46" s="1401"/>
      <c r="QOW46" s="196"/>
      <c r="QOX46" s="196"/>
      <c r="QOY46" s="196"/>
      <c r="QOZ46" s="196"/>
      <c r="QPA46" s="196"/>
      <c r="QPB46" s="196"/>
      <c r="QPC46" s="647"/>
      <c r="QPD46" s="196"/>
      <c r="QPE46" s="646"/>
      <c r="QPF46" s="1400"/>
      <c r="QPG46" s="1401"/>
      <c r="QPH46" s="196"/>
      <c r="QPI46" s="196"/>
      <c r="QPJ46" s="196"/>
      <c r="QPK46" s="196"/>
      <c r="QPL46" s="196"/>
      <c r="QPM46" s="196"/>
      <c r="QPN46" s="647"/>
      <c r="QPO46" s="196"/>
      <c r="QPP46" s="646"/>
      <c r="QPQ46" s="1400"/>
      <c r="QPR46" s="1401"/>
      <c r="QPS46" s="196"/>
      <c r="QPT46" s="196"/>
      <c r="QPU46" s="196"/>
      <c r="QPV46" s="196"/>
      <c r="QPW46" s="196"/>
      <c r="QPX46" s="196"/>
      <c r="QPY46" s="647"/>
      <c r="QPZ46" s="196"/>
      <c r="QQA46" s="646"/>
      <c r="QQB46" s="1400"/>
      <c r="QQC46" s="1401"/>
      <c r="QQD46" s="196"/>
      <c r="QQE46" s="196"/>
      <c r="QQF46" s="196"/>
      <c r="QQG46" s="196"/>
      <c r="QQH46" s="196"/>
      <c r="QQI46" s="196"/>
      <c r="QQJ46" s="647"/>
      <c r="QQK46" s="196"/>
      <c r="QQL46" s="646"/>
      <c r="QQM46" s="1400"/>
      <c r="QQN46" s="1401"/>
      <c r="QQO46" s="196"/>
      <c r="QQP46" s="196"/>
      <c r="QQQ46" s="196"/>
      <c r="QQR46" s="196"/>
      <c r="QQS46" s="196"/>
      <c r="QQT46" s="196"/>
      <c r="QQU46" s="647"/>
      <c r="QQV46" s="196"/>
      <c r="QQW46" s="646"/>
      <c r="QQX46" s="1400"/>
      <c r="QQY46" s="1401"/>
      <c r="QQZ46" s="196"/>
      <c r="QRA46" s="196"/>
      <c r="QRB46" s="196"/>
      <c r="QRC46" s="196"/>
      <c r="QRD46" s="196"/>
      <c r="QRE46" s="196"/>
      <c r="QRF46" s="647"/>
      <c r="QRG46" s="196"/>
      <c r="QRH46" s="646"/>
      <c r="QRI46" s="1400"/>
      <c r="QRJ46" s="1401"/>
      <c r="QRK46" s="196"/>
      <c r="QRL46" s="196"/>
      <c r="QRM46" s="196"/>
      <c r="QRN46" s="196"/>
      <c r="QRO46" s="196"/>
      <c r="QRP46" s="196"/>
      <c r="QRQ46" s="647"/>
      <c r="QRR46" s="196"/>
      <c r="QRS46" s="646"/>
      <c r="QRT46" s="1400"/>
      <c r="QRU46" s="1401"/>
      <c r="QRV46" s="196"/>
      <c r="QRW46" s="196"/>
      <c r="QRX46" s="196"/>
      <c r="QRY46" s="196"/>
      <c r="QRZ46" s="196"/>
      <c r="QSA46" s="196"/>
      <c r="QSB46" s="647"/>
      <c r="QSC46" s="196"/>
      <c r="QSD46" s="646"/>
      <c r="QSE46" s="1400"/>
      <c r="QSF46" s="1401"/>
      <c r="QSG46" s="196"/>
      <c r="QSH46" s="196"/>
      <c r="QSI46" s="196"/>
      <c r="QSJ46" s="196"/>
      <c r="QSK46" s="196"/>
      <c r="QSL46" s="196"/>
      <c r="QSM46" s="647"/>
      <c r="QSN46" s="196"/>
      <c r="QSO46" s="646"/>
      <c r="QSP46" s="1400"/>
      <c r="QSQ46" s="1401"/>
      <c r="QSR46" s="196"/>
      <c r="QSS46" s="196"/>
      <c r="QST46" s="196"/>
      <c r="QSU46" s="196"/>
      <c r="QSV46" s="196"/>
      <c r="QSW46" s="196"/>
      <c r="QSX46" s="647"/>
      <c r="QSY46" s="196"/>
      <c r="QSZ46" s="646"/>
      <c r="QTA46" s="1400"/>
      <c r="QTB46" s="1401"/>
      <c r="QTC46" s="196"/>
      <c r="QTD46" s="196"/>
      <c r="QTE46" s="196"/>
      <c r="QTF46" s="196"/>
      <c r="QTG46" s="196"/>
      <c r="QTH46" s="196"/>
      <c r="QTI46" s="647"/>
      <c r="QTJ46" s="196"/>
      <c r="QTK46" s="646"/>
      <c r="QTL46" s="1400"/>
      <c r="QTM46" s="1401"/>
      <c r="QTN46" s="196"/>
      <c r="QTO46" s="196"/>
      <c r="QTP46" s="196"/>
      <c r="QTQ46" s="196"/>
      <c r="QTR46" s="196"/>
      <c r="QTS46" s="196"/>
      <c r="QTT46" s="647"/>
      <c r="QTU46" s="196"/>
      <c r="QTV46" s="646"/>
      <c r="QTW46" s="1400"/>
      <c r="QTX46" s="1401"/>
      <c r="QTY46" s="196"/>
      <c r="QTZ46" s="196"/>
      <c r="QUA46" s="196"/>
      <c r="QUB46" s="196"/>
      <c r="QUC46" s="196"/>
      <c r="QUD46" s="196"/>
      <c r="QUE46" s="647"/>
      <c r="QUF46" s="196"/>
      <c r="QUG46" s="646"/>
      <c r="QUH46" s="1400"/>
      <c r="QUI46" s="1401"/>
      <c r="QUJ46" s="196"/>
      <c r="QUK46" s="196"/>
      <c r="QUL46" s="196"/>
      <c r="QUM46" s="196"/>
      <c r="QUN46" s="196"/>
      <c r="QUO46" s="196"/>
      <c r="QUP46" s="647"/>
      <c r="QUQ46" s="196"/>
      <c r="QUR46" s="646"/>
      <c r="QUS46" s="1400"/>
      <c r="QUT46" s="1401"/>
      <c r="QUU46" s="196"/>
      <c r="QUV46" s="196"/>
      <c r="QUW46" s="196"/>
      <c r="QUX46" s="196"/>
      <c r="QUY46" s="196"/>
      <c r="QUZ46" s="196"/>
      <c r="QVA46" s="647"/>
      <c r="QVB46" s="196"/>
      <c r="QVC46" s="646"/>
      <c r="QVD46" s="1400"/>
      <c r="QVE46" s="1401"/>
      <c r="QVF46" s="196"/>
      <c r="QVG46" s="196"/>
      <c r="QVH46" s="196"/>
      <c r="QVI46" s="196"/>
      <c r="QVJ46" s="196"/>
      <c r="QVK46" s="196"/>
      <c r="QVL46" s="647"/>
      <c r="QVM46" s="196"/>
      <c r="QVN46" s="646"/>
      <c r="QVO46" s="1400"/>
      <c r="QVP46" s="1401"/>
      <c r="QVQ46" s="196"/>
      <c r="QVR46" s="196"/>
      <c r="QVS46" s="196"/>
      <c r="QVT46" s="196"/>
      <c r="QVU46" s="196"/>
      <c r="QVV46" s="196"/>
      <c r="QVW46" s="647"/>
      <c r="QVX46" s="196"/>
      <c r="QVY46" s="646"/>
      <c r="QVZ46" s="1400"/>
      <c r="QWA46" s="1401"/>
      <c r="QWB46" s="196"/>
      <c r="QWC46" s="196"/>
      <c r="QWD46" s="196"/>
      <c r="QWE46" s="196"/>
      <c r="QWF46" s="196"/>
      <c r="QWG46" s="196"/>
      <c r="QWH46" s="647"/>
      <c r="QWI46" s="196"/>
      <c r="QWJ46" s="646"/>
      <c r="QWK46" s="1400"/>
      <c r="QWL46" s="1401"/>
      <c r="QWM46" s="196"/>
      <c r="QWN46" s="196"/>
      <c r="QWO46" s="196"/>
      <c r="QWP46" s="196"/>
      <c r="QWQ46" s="196"/>
      <c r="QWR46" s="196"/>
      <c r="QWS46" s="647"/>
      <c r="QWT46" s="196"/>
      <c r="QWU46" s="646"/>
      <c r="QWV46" s="1400"/>
      <c r="QWW46" s="1401"/>
      <c r="QWX46" s="196"/>
      <c r="QWY46" s="196"/>
      <c r="QWZ46" s="196"/>
      <c r="QXA46" s="196"/>
      <c r="QXB46" s="196"/>
      <c r="QXC46" s="196"/>
      <c r="QXD46" s="647"/>
      <c r="QXE46" s="196"/>
      <c r="QXF46" s="646"/>
      <c r="QXG46" s="1400"/>
      <c r="QXH46" s="1401"/>
      <c r="QXI46" s="196"/>
      <c r="QXJ46" s="196"/>
      <c r="QXK46" s="196"/>
      <c r="QXL46" s="196"/>
      <c r="QXM46" s="196"/>
      <c r="QXN46" s="196"/>
      <c r="QXO46" s="647"/>
      <c r="QXP46" s="196"/>
      <c r="QXQ46" s="646"/>
      <c r="QXR46" s="1400"/>
      <c r="QXS46" s="1401"/>
      <c r="QXT46" s="196"/>
      <c r="QXU46" s="196"/>
      <c r="QXV46" s="196"/>
      <c r="QXW46" s="196"/>
      <c r="QXX46" s="196"/>
      <c r="QXY46" s="196"/>
      <c r="QXZ46" s="647"/>
      <c r="QYA46" s="196"/>
      <c r="QYB46" s="646"/>
      <c r="QYC46" s="1400"/>
      <c r="QYD46" s="1401"/>
      <c r="QYE46" s="196"/>
      <c r="QYF46" s="196"/>
      <c r="QYG46" s="196"/>
      <c r="QYH46" s="196"/>
      <c r="QYI46" s="196"/>
      <c r="QYJ46" s="196"/>
      <c r="QYK46" s="647"/>
      <c r="QYL46" s="196"/>
      <c r="QYM46" s="646"/>
      <c r="QYN46" s="1400"/>
      <c r="QYO46" s="1401"/>
      <c r="QYP46" s="196"/>
      <c r="QYQ46" s="196"/>
      <c r="QYR46" s="196"/>
      <c r="QYS46" s="196"/>
      <c r="QYT46" s="196"/>
      <c r="QYU46" s="196"/>
      <c r="QYV46" s="647"/>
      <c r="QYW46" s="196"/>
      <c r="QYX46" s="646"/>
      <c r="QYY46" s="1400"/>
      <c r="QYZ46" s="1401"/>
      <c r="QZA46" s="196"/>
      <c r="QZB46" s="196"/>
      <c r="QZC46" s="196"/>
      <c r="QZD46" s="196"/>
      <c r="QZE46" s="196"/>
      <c r="QZF46" s="196"/>
      <c r="QZG46" s="647"/>
      <c r="QZH46" s="196"/>
      <c r="QZI46" s="646"/>
      <c r="QZJ46" s="1400"/>
      <c r="QZK46" s="1401"/>
      <c r="QZL46" s="196"/>
      <c r="QZM46" s="196"/>
      <c r="QZN46" s="196"/>
      <c r="QZO46" s="196"/>
      <c r="QZP46" s="196"/>
      <c r="QZQ46" s="196"/>
      <c r="QZR46" s="647"/>
      <c r="QZS46" s="196"/>
      <c r="QZT46" s="646"/>
      <c r="QZU46" s="1400"/>
      <c r="QZV46" s="1401"/>
      <c r="QZW46" s="196"/>
      <c r="QZX46" s="196"/>
      <c r="QZY46" s="196"/>
      <c r="QZZ46" s="196"/>
      <c r="RAA46" s="196"/>
      <c r="RAB46" s="196"/>
      <c r="RAC46" s="647"/>
      <c r="RAD46" s="196"/>
      <c r="RAE46" s="646"/>
      <c r="RAF46" s="1400"/>
      <c r="RAG46" s="1401"/>
      <c r="RAH46" s="196"/>
      <c r="RAI46" s="196"/>
      <c r="RAJ46" s="196"/>
      <c r="RAK46" s="196"/>
      <c r="RAL46" s="196"/>
      <c r="RAM46" s="196"/>
      <c r="RAN46" s="647"/>
      <c r="RAO46" s="196"/>
      <c r="RAP46" s="646"/>
      <c r="RAQ46" s="1400"/>
      <c r="RAR46" s="1401"/>
      <c r="RAS46" s="196"/>
      <c r="RAT46" s="196"/>
      <c r="RAU46" s="196"/>
      <c r="RAV46" s="196"/>
      <c r="RAW46" s="196"/>
      <c r="RAX46" s="196"/>
      <c r="RAY46" s="647"/>
      <c r="RAZ46" s="196"/>
      <c r="RBA46" s="646"/>
      <c r="RBB46" s="1400"/>
      <c r="RBC46" s="1401"/>
      <c r="RBD46" s="196"/>
      <c r="RBE46" s="196"/>
      <c r="RBF46" s="196"/>
      <c r="RBG46" s="196"/>
      <c r="RBH46" s="196"/>
      <c r="RBI46" s="196"/>
      <c r="RBJ46" s="647"/>
      <c r="RBK46" s="196"/>
      <c r="RBL46" s="646"/>
      <c r="RBM46" s="1400"/>
      <c r="RBN46" s="1401"/>
      <c r="RBO46" s="196"/>
      <c r="RBP46" s="196"/>
      <c r="RBQ46" s="196"/>
      <c r="RBR46" s="196"/>
      <c r="RBS46" s="196"/>
      <c r="RBT46" s="196"/>
      <c r="RBU46" s="647"/>
      <c r="RBV46" s="196"/>
      <c r="RBW46" s="646"/>
      <c r="RBX46" s="1400"/>
      <c r="RBY46" s="1401"/>
      <c r="RBZ46" s="196"/>
      <c r="RCA46" s="196"/>
      <c r="RCB46" s="196"/>
      <c r="RCC46" s="196"/>
      <c r="RCD46" s="196"/>
      <c r="RCE46" s="196"/>
      <c r="RCF46" s="647"/>
      <c r="RCG46" s="196"/>
      <c r="RCH46" s="646"/>
      <c r="RCI46" s="1400"/>
      <c r="RCJ46" s="1401"/>
      <c r="RCK46" s="196"/>
      <c r="RCL46" s="196"/>
      <c r="RCM46" s="196"/>
      <c r="RCN46" s="196"/>
      <c r="RCO46" s="196"/>
      <c r="RCP46" s="196"/>
      <c r="RCQ46" s="647"/>
      <c r="RCR46" s="196"/>
      <c r="RCS46" s="646"/>
      <c r="RCT46" s="1400"/>
      <c r="RCU46" s="1401"/>
      <c r="RCV46" s="196"/>
      <c r="RCW46" s="196"/>
      <c r="RCX46" s="196"/>
      <c r="RCY46" s="196"/>
      <c r="RCZ46" s="196"/>
      <c r="RDA46" s="196"/>
      <c r="RDB46" s="647"/>
      <c r="RDC46" s="196"/>
      <c r="RDD46" s="646"/>
      <c r="RDE46" s="1400"/>
      <c r="RDF46" s="1401"/>
      <c r="RDG46" s="196"/>
      <c r="RDH46" s="196"/>
      <c r="RDI46" s="196"/>
      <c r="RDJ46" s="196"/>
      <c r="RDK46" s="196"/>
      <c r="RDL46" s="196"/>
      <c r="RDM46" s="647"/>
      <c r="RDN46" s="196"/>
      <c r="RDO46" s="646"/>
      <c r="RDP46" s="1400"/>
      <c r="RDQ46" s="1401"/>
      <c r="RDR46" s="196"/>
      <c r="RDS46" s="196"/>
      <c r="RDT46" s="196"/>
      <c r="RDU46" s="196"/>
      <c r="RDV46" s="196"/>
      <c r="RDW46" s="196"/>
      <c r="RDX46" s="647"/>
      <c r="RDY46" s="196"/>
      <c r="RDZ46" s="646"/>
      <c r="REA46" s="1400"/>
      <c r="REB46" s="1401"/>
      <c r="REC46" s="196"/>
      <c r="RED46" s="196"/>
      <c r="REE46" s="196"/>
      <c r="REF46" s="196"/>
      <c r="REG46" s="196"/>
      <c r="REH46" s="196"/>
      <c r="REI46" s="647"/>
      <c r="REJ46" s="196"/>
      <c r="REK46" s="646"/>
      <c r="REL46" s="1400"/>
      <c r="REM46" s="1401"/>
      <c r="REN46" s="196"/>
      <c r="REO46" s="196"/>
      <c r="REP46" s="196"/>
      <c r="REQ46" s="196"/>
      <c r="RER46" s="196"/>
      <c r="RES46" s="196"/>
      <c r="RET46" s="647"/>
      <c r="REU46" s="196"/>
      <c r="REV46" s="646"/>
      <c r="REW46" s="1400"/>
      <c r="REX46" s="1401"/>
      <c r="REY46" s="196"/>
      <c r="REZ46" s="196"/>
      <c r="RFA46" s="196"/>
      <c r="RFB46" s="196"/>
      <c r="RFC46" s="196"/>
      <c r="RFD46" s="196"/>
      <c r="RFE46" s="647"/>
      <c r="RFF46" s="196"/>
      <c r="RFG46" s="646"/>
      <c r="RFH46" s="1400"/>
      <c r="RFI46" s="1401"/>
      <c r="RFJ46" s="196"/>
      <c r="RFK46" s="196"/>
      <c r="RFL46" s="196"/>
      <c r="RFM46" s="196"/>
      <c r="RFN46" s="196"/>
      <c r="RFO46" s="196"/>
      <c r="RFP46" s="647"/>
      <c r="RFQ46" s="196"/>
      <c r="RFR46" s="646"/>
      <c r="RFS46" s="1400"/>
      <c r="RFT46" s="1401"/>
      <c r="RFU46" s="196"/>
      <c r="RFV46" s="196"/>
      <c r="RFW46" s="196"/>
      <c r="RFX46" s="196"/>
      <c r="RFY46" s="196"/>
      <c r="RFZ46" s="196"/>
      <c r="RGA46" s="647"/>
      <c r="RGB46" s="196"/>
      <c r="RGC46" s="646"/>
      <c r="RGD46" s="1400"/>
      <c r="RGE46" s="1401"/>
      <c r="RGF46" s="196"/>
      <c r="RGG46" s="196"/>
      <c r="RGH46" s="196"/>
      <c r="RGI46" s="196"/>
      <c r="RGJ46" s="196"/>
      <c r="RGK46" s="196"/>
      <c r="RGL46" s="647"/>
      <c r="RGM46" s="196"/>
      <c r="RGN46" s="646"/>
      <c r="RGO46" s="1400"/>
      <c r="RGP46" s="1401"/>
      <c r="RGQ46" s="196"/>
      <c r="RGR46" s="196"/>
      <c r="RGS46" s="196"/>
      <c r="RGT46" s="196"/>
      <c r="RGU46" s="196"/>
      <c r="RGV46" s="196"/>
      <c r="RGW46" s="647"/>
      <c r="RGX46" s="196"/>
      <c r="RGY46" s="646"/>
      <c r="RGZ46" s="1400"/>
      <c r="RHA46" s="1401"/>
      <c r="RHB46" s="196"/>
      <c r="RHC46" s="196"/>
      <c r="RHD46" s="196"/>
      <c r="RHE46" s="196"/>
      <c r="RHF46" s="196"/>
      <c r="RHG46" s="196"/>
      <c r="RHH46" s="647"/>
      <c r="RHI46" s="196"/>
      <c r="RHJ46" s="646"/>
      <c r="RHK46" s="1400"/>
      <c r="RHL46" s="1401"/>
      <c r="RHM46" s="196"/>
      <c r="RHN46" s="196"/>
      <c r="RHO46" s="196"/>
      <c r="RHP46" s="196"/>
      <c r="RHQ46" s="196"/>
      <c r="RHR46" s="196"/>
      <c r="RHS46" s="647"/>
      <c r="RHT46" s="196"/>
      <c r="RHU46" s="646"/>
      <c r="RHV46" s="1400"/>
      <c r="RHW46" s="1401"/>
      <c r="RHX46" s="196"/>
      <c r="RHY46" s="196"/>
      <c r="RHZ46" s="196"/>
      <c r="RIA46" s="196"/>
      <c r="RIB46" s="196"/>
      <c r="RIC46" s="196"/>
      <c r="RID46" s="647"/>
      <c r="RIE46" s="196"/>
      <c r="RIF46" s="646"/>
      <c r="RIG46" s="1400"/>
      <c r="RIH46" s="1401"/>
      <c r="RII46" s="196"/>
      <c r="RIJ46" s="196"/>
      <c r="RIK46" s="196"/>
      <c r="RIL46" s="196"/>
      <c r="RIM46" s="196"/>
      <c r="RIN46" s="196"/>
      <c r="RIO46" s="647"/>
      <c r="RIP46" s="196"/>
      <c r="RIQ46" s="646"/>
      <c r="RIR46" s="1400"/>
      <c r="RIS46" s="1401"/>
      <c r="RIT46" s="196"/>
      <c r="RIU46" s="196"/>
      <c r="RIV46" s="196"/>
      <c r="RIW46" s="196"/>
      <c r="RIX46" s="196"/>
      <c r="RIY46" s="196"/>
      <c r="RIZ46" s="647"/>
      <c r="RJA46" s="196"/>
      <c r="RJB46" s="646"/>
      <c r="RJC46" s="1400"/>
      <c r="RJD46" s="1401"/>
      <c r="RJE46" s="196"/>
      <c r="RJF46" s="196"/>
      <c r="RJG46" s="196"/>
      <c r="RJH46" s="196"/>
      <c r="RJI46" s="196"/>
      <c r="RJJ46" s="196"/>
      <c r="RJK46" s="647"/>
      <c r="RJL46" s="196"/>
      <c r="RJM46" s="646"/>
      <c r="RJN46" s="1400"/>
      <c r="RJO46" s="1401"/>
      <c r="RJP46" s="196"/>
      <c r="RJQ46" s="196"/>
      <c r="RJR46" s="196"/>
      <c r="RJS46" s="196"/>
      <c r="RJT46" s="196"/>
      <c r="RJU46" s="196"/>
      <c r="RJV46" s="647"/>
      <c r="RJW46" s="196"/>
      <c r="RJX46" s="646"/>
      <c r="RJY46" s="1400"/>
      <c r="RJZ46" s="1401"/>
      <c r="RKA46" s="196"/>
      <c r="RKB46" s="196"/>
      <c r="RKC46" s="196"/>
      <c r="RKD46" s="196"/>
      <c r="RKE46" s="196"/>
      <c r="RKF46" s="196"/>
      <c r="RKG46" s="647"/>
      <c r="RKH46" s="196"/>
      <c r="RKI46" s="646"/>
      <c r="RKJ46" s="1400"/>
      <c r="RKK46" s="1401"/>
      <c r="RKL46" s="196"/>
      <c r="RKM46" s="196"/>
      <c r="RKN46" s="196"/>
      <c r="RKO46" s="196"/>
      <c r="RKP46" s="196"/>
      <c r="RKQ46" s="196"/>
      <c r="RKR46" s="647"/>
      <c r="RKS46" s="196"/>
      <c r="RKT46" s="646"/>
      <c r="RKU46" s="1400"/>
      <c r="RKV46" s="1401"/>
      <c r="RKW46" s="196"/>
      <c r="RKX46" s="196"/>
      <c r="RKY46" s="196"/>
      <c r="RKZ46" s="196"/>
      <c r="RLA46" s="196"/>
      <c r="RLB46" s="196"/>
      <c r="RLC46" s="647"/>
      <c r="RLD46" s="196"/>
      <c r="RLE46" s="646"/>
      <c r="RLF46" s="1400"/>
      <c r="RLG46" s="1401"/>
      <c r="RLH46" s="196"/>
      <c r="RLI46" s="196"/>
      <c r="RLJ46" s="196"/>
      <c r="RLK46" s="196"/>
      <c r="RLL46" s="196"/>
      <c r="RLM46" s="196"/>
      <c r="RLN46" s="647"/>
      <c r="RLO46" s="196"/>
      <c r="RLP46" s="646"/>
      <c r="RLQ46" s="1400"/>
      <c r="RLR46" s="1401"/>
      <c r="RLS46" s="196"/>
      <c r="RLT46" s="196"/>
      <c r="RLU46" s="196"/>
      <c r="RLV46" s="196"/>
      <c r="RLW46" s="196"/>
      <c r="RLX46" s="196"/>
      <c r="RLY46" s="647"/>
      <c r="RLZ46" s="196"/>
      <c r="RMA46" s="646"/>
      <c r="RMB46" s="1400"/>
      <c r="RMC46" s="1401"/>
      <c r="RMD46" s="196"/>
      <c r="RME46" s="196"/>
      <c r="RMF46" s="196"/>
      <c r="RMG46" s="196"/>
      <c r="RMH46" s="196"/>
      <c r="RMI46" s="196"/>
      <c r="RMJ46" s="647"/>
      <c r="RMK46" s="196"/>
      <c r="RML46" s="646"/>
      <c r="RMM46" s="1400"/>
      <c r="RMN46" s="1401"/>
      <c r="RMO46" s="196"/>
      <c r="RMP46" s="196"/>
      <c r="RMQ46" s="196"/>
      <c r="RMR46" s="196"/>
      <c r="RMS46" s="196"/>
      <c r="RMT46" s="196"/>
      <c r="RMU46" s="647"/>
      <c r="RMV46" s="196"/>
      <c r="RMW46" s="646"/>
      <c r="RMX46" s="1400"/>
      <c r="RMY46" s="1401"/>
      <c r="RMZ46" s="196"/>
      <c r="RNA46" s="196"/>
      <c r="RNB46" s="196"/>
      <c r="RNC46" s="196"/>
      <c r="RND46" s="196"/>
      <c r="RNE46" s="196"/>
      <c r="RNF46" s="647"/>
      <c r="RNG46" s="196"/>
      <c r="RNH46" s="646"/>
      <c r="RNI46" s="1400"/>
      <c r="RNJ46" s="1401"/>
      <c r="RNK46" s="196"/>
      <c r="RNL46" s="196"/>
      <c r="RNM46" s="196"/>
      <c r="RNN46" s="196"/>
      <c r="RNO46" s="196"/>
      <c r="RNP46" s="196"/>
      <c r="RNQ46" s="647"/>
      <c r="RNR46" s="196"/>
      <c r="RNS46" s="646"/>
      <c r="RNT46" s="1400"/>
      <c r="RNU46" s="1401"/>
      <c r="RNV46" s="196"/>
      <c r="RNW46" s="196"/>
      <c r="RNX46" s="196"/>
      <c r="RNY46" s="196"/>
      <c r="RNZ46" s="196"/>
      <c r="ROA46" s="196"/>
      <c r="ROB46" s="647"/>
      <c r="ROC46" s="196"/>
      <c r="ROD46" s="646"/>
      <c r="ROE46" s="1400"/>
      <c r="ROF46" s="1401"/>
      <c r="ROG46" s="196"/>
      <c r="ROH46" s="196"/>
      <c r="ROI46" s="196"/>
      <c r="ROJ46" s="196"/>
      <c r="ROK46" s="196"/>
      <c r="ROL46" s="196"/>
      <c r="ROM46" s="647"/>
      <c r="RON46" s="196"/>
      <c r="ROO46" s="646"/>
      <c r="ROP46" s="1400"/>
      <c r="ROQ46" s="1401"/>
      <c r="ROR46" s="196"/>
      <c r="ROS46" s="196"/>
      <c r="ROT46" s="196"/>
      <c r="ROU46" s="196"/>
      <c r="ROV46" s="196"/>
      <c r="ROW46" s="196"/>
      <c r="ROX46" s="647"/>
      <c r="ROY46" s="196"/>
      <c r="ROZ46" s="646"/>
      <c r="RPA46" s="1400"/>
      <c r="RPB46" s="1401"/>
      <c r="RPC46" s="196"/>
      <c r="RPD46" s="196"/>
      <c r="RPE46" s="196"/>
      <c r="RPF46" s="196"/>
      <c r="RPG46" s="196"/>
      <c r="RPH46" s="196"/>
      <c r="RPI46" s="647"/>
      <c r="RPJ46" s="196"/>
      <c r="RPK46" s="646"/>
      <c r="RPL46" s="1400"/>
      <c r="RPM46" s="1401"/>
      <c r="RPN46" s="196"/>
      <c r="RPO46" s="196"/>
      <c r="RPP46" s="196"/>
      <c r="RPQ46" s="196"/>
      <c r="RPR46" s="196"/>
      <c r="RPS46" s="196"/>
      <c r="RPT46" s="647"/>
      <c r="RPU46" s="196"/>
      <c r="RPV46" s="646"/>
      <c r="RPW46" s="1400"/>
      <c r="RPX46" s="1401"/>
      <c r="RPY46" s="196"/>
      <c r="RPZ46" s="196"/>
      <c r="RQA46" s="196"/>
      <c r="RQB46" s="196"/>
      <c r="RQC46" s="196"/>
      <c r="RQD46" s="196"/>
      <c r="RQE46" s="647"/>
      <c r="RQF46" s="196"/>
      <c r="RQG46" s="646"/>
      <c r="RQH46" s="1400"/>
      <c r="RQI46" s="1401"/>
      <c r="RQJ46" s="196"/>
      <c r="RQK46" s="196"/>
      <c r="RQL46" s="196"/>
      <c r="RQM46" s="196"/>
      <c r="RQN46" s="196"/>
      <c r="RQO46" s="196"/>
      <c r="RQP46" s="647"/>
      <c r="RQQ46" s="196"/>
      <c r="RQR46" s="646"/>
      <c r="RQS46" s="1400"/>
      <c r="RQT46" s="1401"/>
      <c r="RQU46" s="196"/>
      <c r="RQV46" s="196"/>
      <c r="RQW46" s="196"/>
      <c r="RQX46" s="196"/>
      <c r="RQY46" s="196"/>
      <c r="RQZ46" s="196"/>
      <c r="RRA46" s="647"/>
      <c r="RRB46" s="196"/>
      <c r="RRC46" s="646"/>
      <c r="RRD46" s="1400"/>
      <c r="RRE46" s="1401"/>
      <c r="RRF46" s="196"/>
      <c r="RRG46" s="196"/>
      <c r="RRH46" s="196"/>
      <c r="RRI46" s="196"/>
      <c r="RRJ46" s="196"/>
      <c r="RRK46" s="196"/>
      <c r="RRL46" s="647"/>
      <c r="RRM46" s="196"/>
      <c r="RRN46" s="646"/>
      <c r="RRO46" s="1400"/>
      <c r="RRP46" s="1401"/>
      <c r="RRQ46" s="196"/>
      <c r="RRR46" s="196"/>
      <c r="RRS46" s="196"/>
      <c r="RRT46" s="196"/>
      <c r="RRU46" s="196"/>
      <c r="RRV46" s="196"/>
      <c r="RRW46" s="647"/>
      <c r="RRX46" s="196"/>
      <c r="RRY46" s="646"/>
      <c r="RRZ46" s="1400"/>
      <c r="RSA46" s="1401"/>
      <c r="RSB46" s="196"/>
      <c r="RSC46" s="196"/>
      <c r="RSD46" s="196"/>
      <c r="RSE46" s="196"/>
      <c r="RSF46" s="196"/>
      <c r="RSG46" s="196"/>
      <c r="RSH46" s="647"/>
      <c r="RSI46" s="196"/>
      <c r="RSJ46" s="646"/>
      <c r="RSK46" s="1400"/>
      <c r="RSL46" s="1401"/>
      <c r="RSM46" s="196"/>
      <c r="RSN46" s="196"/>
      <c r="RSO46" s="196"/>
      <c r="RSP46" s="196"/>
      <c r="RSQ46" s="196"/>
      <c r="RSR46" s="196"/>
      <c r="RSS46" s="647"/>
      <c r="RST46" s="196"/>
      <c r="RSU46" s="646"/>
      <c r="RSV46" s="1400"/>
      <c r="RSW46" s="1401"/>
      <c r="RSX46" s="196"/>
      <c r="RSY46" s="196"/>
      <c r="RSZ46" s="196"/>
      <c r="RTA46" s="196"/>
      <c r="RTB46" s="196"/>
      <c r="RTC46" s="196"/>
      <c r="RTD46" s="647"/>
      <c r="RTE46" s="196"/>
      <c r="RTF46" s="646"/>
      <c r="RTG46" s="1400"/>
      <c r="RTH46" s="1401"/>
      <c r="RTI46" s="196"/>
      <c r="RTJ46" s="196"/>
      <c r="RTK46" s="196"/>
      <c r="RTL46" s="196"/>
      <c r="RTM46" s="196"/>
      <c r="RTN46" s="196"/>
      <c r="RTO46" s="647"/>
      <c r="RTP46" s="196"/>
      <c r="RTQ46" s="646"/>
      <c r="RTR46" s="1400"/>
      <c r="RTS46" s="1401"/>
      <c r="RTT46" s="196"/>
      <c r="RTU46" s="196"/>
      <c r="RTV46" s="196"/>
      <c r="RTW46" s="196"/>
      <c r="RTX46" s="196"/>
      <c r="RTY46" s="196"/>
      <c r="RTZ46" s="647"/>
      <c r="RUA46" s="196"/>
      <c r="RUB46" s="646"/>
      <c r="RUC46" s="1400"/>
      <c r="RUD46" s="1401"/>
      <c r="RUE46" s="196"/>
      <c r="RUF46" s="196"/>
      <c r="RUG46" s="196"/>
      <c r="RUH46" s="196"/>
      <c r="RUI46" s="196"/>
      <c r="RUJ46" s="196"/>
      <c r="RUK46" s="647"/>
      <c r="RUL46" s="196"/>
      <c r="RUM46" s="646"/>
      <c r="RUN46" s="1400"/>
      <c r="RUO46" s="1401"/>
      <c r="RUP46" s="196"/>
      <c r="RUQ46" s="196"/>
      <c r="RUR46" s="196"/>
      <c r="RUS46" s="196"/>
      <c r="RUT46" s="196"/>
      <c r="RUU46" s="196"/>
      <c r="RUV46" s="647"/>
      <c r="RUW46" s="196"/>
      <c r="RUX46" s="646"/>
      <c r="RUY46" s="1400"/>
      <c r="RUZ46" s="1401"/>
      <c r="RVA46" s="196"/>
      <c r="RVB46" s="196"/>
      <c r="RVC46" s="196"/>
      <c r="RVD46" s="196"/>
      <c r="RVE46" s="196"/>
      <c r="RVF46" s="196"/>
      <c r="RVG46" s="647"/>
      <c r="RVH46" s="196"/>
      <c r="RVI46" s="646"/>
      <c r="RVJ46" s="1400"/>
      <c r="RVK46" s="1401"/>
      <c r="RVL46" s="196"/>
      <c r="RVM46" s="196"/>
      <c r="RVN46" s="196"/>
      <c r="RVO46" s="196"/>
      <c r="RVP46" s="196"/>
      <c r="RVQ46" s="196"/>
      <c r="RVR46" s="647"/>
      <c r="RVS46" s="196"/>
      <c r="RVT46" s="646"/>
      <c r="RVU46" s="1400"/>
      <c r="RVV46" s="1401"/>
      <c r="RVW46" s="196"/>
      <c r="RVX46" s="196"/>
      <c r="RVY46" s="196"/>
      <c r="RVZ46" s="196"/>
      <c r="RWA46" s="196"/>
      <c r="RWB46" s="196"/>
      <c r="RWC46" s="647"/>
      <c r="RWD46" s="196"/>
      <c r="RWE46" s="646"/>
      <c r="RWF46" s="1400"/>
      <c r="RWG46" s="1401"/>
      <c r="RWH46" s="196"/>
      <c r="RWI46" s="196"/>
      <c r="RWJ46" s="196"/>
      <c r="RWK46" s="196"/>
      <c r="RWL46" s="196"/>
      <c r="RWM46" s="196"/>
      <c r="RWN46" s="647"/>
      <c r="RWO46" s="196"/>
      <c r="RWP46" s="646"/>
      <c r="RWQ46" s="1400"/>
      <c r="RWR46" s="1401"/>
      <c r="RWS46" s="196"/>
      <c r="RWT46" s="196"/>
      <c r="RWU46" s="196"/>
      <c r="RWV46" s="196"/>
      <c r="RWW46" s="196"/>
      <c r="RWX46" s="196"/>
      <c r="RWY46" s="647"/>
      <c r="RWZ46" s="196"/>
      <c r="RXA46" s="646"/>
      <c r="RXB46" s="1400"/>
      <c r="RXC46" s="1401"/>
      <c r="RXD46" s="196"/>
      <c r="RXE46" s="196"/>
      <c r="RXF46" s="196"/>
      <c r="RXG46" s="196"/>
      <c r="RXH46" s="196"/>
      <c r="RXI46" s="196"/>
      <c r="RXJ46" s="647"/>
      <c r="RXK46" s="196"/>
      <c r="RXL46" s="646"/>
      <c r="RXM46" s="1400"/>
      <c r="RXN46" s="1401"/>
      <c r="RXO46" s="196"/>
      <c r="RXP46" s="196"/>
      <c r="RXQ46" s="196"/>
      <c r="RXR46" s="196"/>
      <c r="RXS46" s="196"/>
      <c r="RXT46" s="196"/>
      <c r="RXU46" s="647"/>
      <c r="RXV46" s="196"/>
      <c r="RXW46" s="646"/>
      <c r="RXX46" s="1400"/>
      <c r="RXY46" s="1401"/>
      <c r="RXZ46" s="196"/>
      <c r="RYA46" s="196"/>
      <c r="RYB46" s="196"/>
      <c r="RYC46" s="196"/>
      <c r="RYD46" s="196"/>
      <c r="RYE46" s="196"/>
      <c r="RYF46" s="647"/>
      <c r="RYG46" s="196"/>
      <c r="RYH46" s="646"/>
      <c r="RYI46" s="1400"/>
      <c r="RYJ46" s="1401"/>
      <c r="RYK46" s="196"/>
      <c r="RYL46" s="196"/>
      <c r="RYM46" s="196"/>
      <c r="RYN46" s="196"/>
      <c r="RYO46" s="196"/>
      <c r="RYP46" s="196"/>
      <c r="RYQ46" s="647"/>
      <c r="RYR46" s="196"/>
      <c r="RYS46" s="646"/>
      <c r="RYT46" s="1400"/>
      <c r="RYU46" s="1401"/>
      <c r="RYV46" s="196"/>
      <c r="RYW46" s="196"/>
      <c r="RYX46" s="196"/>
      <c r="RYY46" s="196"/>
      <c r="RYZ46" s="196"/>
      <c r="RZA46" s="196"/>
      <c r="RZB46" s="647"/>
      <c r="RZC46" s="196"/>
      <c r="RZD46" s="646"/>
      <c r="RZE46" s="1400"/>
      <c r="RZF46" s="1401"/>
      <c r="RZG46" s="196"/>
      <c r="RZH46" s="196"/>
      <c r="RZI46" s="196"/>
      <c r="RZJ46" s="196"/>
      <c r="RZK46" s="196"/>
      <c r="RZL46" s="196"/>
      <c r="RZM46" s="647"/>
      <c r="RZN46" s="196"/>
      <c r="RZO46" s="646"/>
      <c r="RZP46" s="1400"/>
      <c r="RZQ46" s="1401"/>
      <c r="RZR46" s="196"/>
      <c r="RZS46" s="196"/>
      <c r="RZT46" s="196"/>
      <c r="RZU46" s="196"/>
      <c r="RZV46" s="196"/>
      <c r="RZW46" s="196"/>
      <c r="RZX46" s="647"/>
      <c r="RZY46" s="196"/>
      <c r="RZZ46" s="646"/>
      <c r="SAA46" s="1400"/>
      <c r="SAB46" s="1401"/>
      <c r="SAC46" s="196"/>
      <c r="SAD46" s="196"/>
      <c r="SAE46" s="196"/>
      <c r="SAF46" s="196"/>
      <c r="SAG46" s="196"/>
      <c r="SAH46" s="196"/>
      <c r="SAI46" s="647"/>
      <c r="SAJ46" s="196"/>
      <c r="SAK46" s="646"/>
      <c r="SAL46" s="1400"/>
      <c r="SAM46" s="1401"/>
      <c r="SAN46" s="196"/>
      <c r="SAO46" s="196"/>
      <c r="SAP46" s="196"/>
      <c r="SAQ46" s="196"/>
      <c r="SAR46" s="196"/>
      <c r="SAS46" s="196"/>
      <c r="SAT46" s="647"/>
      <c r="SAU46" s="196"/>
      <c r="SAV46" s="646"/>
      <c r="SAW46" s="1400"/>
      <c r="SAX46" s="1401"/>
      <c r="SAY46" s="196"/>
      <c r="SAZ46" s="196"/>
      <c r="SBA46" s="196"/>
      <c r="SBB46" s="196"/>
      <c r="SBC46" s="196"/>
      <c r="SBD46" s="196"/>
      <c r="SBE46" s="647"/>
      <c r="SBF46" s="196"/>
      <c r="SBG46" s="646"/>
      <c r="SBH46" s="1400"/>
      <c r="SBI46" s="1401"/>
      <c r="SBJ46" s="196"/>
      <c r="SBK46" s="196"/>
      <c r="SBL46" s="196"/>
      <c r="SBM46" s="196"/>
      <c r="SBN46" s="196"/>
      <c r="SBO46" s="196"/>
      <c r="SBP46" s="647"/>
      <c r="SBQ46" s="196"/>
      <c r="SBR46" s="646"/>
      <c r="SBS46" s="1400"/>
      <c r="SBT46" s="1401"/>
      <c r="SBU46" s="196"/>
      <c r="SBV46" s="196"/>
      <c r="SBW46" s="196"/>
      <c r="SBX46" s="196"/>
      <c r="SBY46" s="196"/>
      <c r="SBZ46" s="196"/>
      <c r="SCA46" s="647"/>
      <c r="SCB46" s="196"/>
      <c r="SCC46" s="646"/>
      <c r="SCD46" s="1400"/>
      <c r="SCE46" s="1401"/>
      <c r="SCF46" s="196"/>
      <c r="SCG46" s="196"/>
      <c r="SCH46" s="196"/>
      <c r="SCI46" s="196"/>
      <c r="SCJ46" s="196"/>
      <c r="SCK46" s="196"/>
      <c r="SCL46" s="647"/>
      <c r="SCM46" s="196"/>
      <c r="SCN46" s="646"/>
      <c r="SCO46" s="1400"/>
      <c r="SCP46" s="1401"/>
      <c r="SCQ46" s="196"/>
      <c r="SCR46" s="196"/>
      <c r="SCS46" s="196"/>
      <c r="SCT46" s="196"/>
      <c r="SCU46" s="196"/>
      <c r="SCV46" s="196"/>
      <c r="SCW46" s="647"/>
      <c r="SCX46" s="196"/>
      <c r="SCY46" s="646"/>
      <c r="SCZ46" s="1400"/>
      <c r="SDA46" s="1401"/>
      <c r="SDB46" s="196"/>
      <c r="SDC46" s="196"/>
      <c r="SDD46" s="196"/>
      <c r="SDE46" s="196"/>
      <c r="SDF46" s="196"/>
      <c r="SDG46" s="196"/>
      <c r="SDH46" s="647"/>
      <c r="SDI46" s="196"/>
      <c r="SDJ46" s="646"/>
      <c r="SDK46" s="1400"/>
      <c r="SDL46" s="1401"/>
      <c r="SDM46" s="196"/>
      <c r="SDN46" s="196"/>
      <c r="SDO46" s="196"/>
      <c r="SDP46" s="196"/>
      <c r="SDQ46" s="196"/>
      <c r="SDR46" s="196"/>
      <c r="SDS46" s="647"/>
      <c r="SDT46" s="196"/>
      <c r="SDU46" s="646"/>
      <c r="SDV46" s="1400"/>
      <c r="SDW46" s="1401"/>
      <c r="SDX46" s="196"/>
      <c r="SDY46" s="196"/>
      <c r="SDZ46" s="196"/>
      <c r="SEA46" s="196"/>
      <c r="SEB46" s="196"/>
      <c r="SEC46" s="196"/>
      <c r="SED46" s="647"/>
      <c r="SEE46" s="196"/>
      <c r="SEF46" s="646"/>
      <c r="SEG46" s="1400"/>
      <c r="SEH46" s="1401"/>
      <c r="SEI46" s="196"/>
      <c r="SEJ46" s="196"/>
      <c r="SEK46" s="196"/>
      <c r="SEL46" s="196"/>
      <c r="SEM46" s="196"/>
      <c r="SEN46" s="196"/>
      <c r="SEO46" s="647"/>
      <c r="SEP46" s="196"/>
      <c r="SEQ46" s="646"/>
      <c r="SER46" s="1400"/>
      <c r="SES46" s="1401"/>
      <c r="SET46" s="196"/>
      <c r="SEU46" s="196"/>
      <c r="SEV46" s="196"/>
      <c r="SEW46" s="196"/>
      <c r="SEX46" s="196"/>
      <c r="SEY46" s="196"/>
      <c r="SEZ46" s="647"/>
      <c r="SFA46" s="196"/>
      <c r="SFB46" s="646"/>
      <c r="SFC46" s="1400"/>
      <c r="SFD46" s="1401"/>
      <c r="SFE46" s="196"/>
      <c r="SFF46" s="196"/>
      <c r="SFG46" s="196"/>
      <c r="SFH46" s="196"/>
      <c r="SFI46" s="196"/>
      <c r="SFJ46" s="196"/>
      <c r="SFK46" s="647"/>
      <c r="SFL46" s="196"/>
      <c r="SFM46" s="646"/>
      <c r="SFN46" s="1400"/>
      <c r="SFO46" s="1401"/>
      <c r="SFP46" s="196"/>
      <c r="SFQ46" s="196"/>
      <c r="SFR46" s="196"/>
      <c r="SFS46" s="196"/>
      <c r="SFT46" s="196"/>
      <c r="SFU46" s="196"/>
      <c r="SFV46" s="647"/>
      <c r="SFW46" s="196"/>
      <c r="SFX46" s="646"/>
      <c r="SFY46" s="1400"/>
      <c r="SFZ46" s="1401"/>
      <c r="SGA46" s="196"/>
      <c r="SGB46" s="196"/>
      <c r="SGC46" s="196"/>
      <c r="SGD46" s="196"/>
      <c r="SGE46" s="196"/>
      <c r="SGF46" s="196"/>
      <c r="SGG46" s="647"/>
      <c r="SGH46" s="196"/>
      <c r="SGI46" s="646"/>
      <c r="SGJ46" s="1400"/>
      <c r="SGK46" s="1401"/>
      <c r="SGL46" s="196"/>
      <c r="SGM46" s="196"/>
      <c r="SGN46" s="196"/>
      <c r="SGO46" s="196"/>
      <c r="SGP46" s="196"/>
      <c r="SGQ46" s="196"/>
      <c r="SGR46" s="647"/>
      <c r="SGS46" s="196"/>
      <c r="SGT46" s="646"/>
      <c r="SGU46" s="1400"/>
      <c r="SGV46" s="1401"/>
      <c r="SGW46" s="196"/>
      <c r="SGX46" s="196"/>
      <c r="SGY46" s="196"/>
      <c r="SGZ46" s="196"/>
      <c r="SHA46" s="196"/>
      <c r="SHB46" s="196"/>
      <c r="SHC46" s="647"/>
      <c r="SHD46" s="196"/>
      <c r="SHE46" s="646"/>
      <c r="SHF46" s="1400"/>
      <c r="SHG46" s="1401"/>
      <c r="SHH46" s="196"/>
      <c r="SHI46" s="196"/>
      <c r="SHJ46" s="196"/>
      <c r="SHK46" s="196"/>
      <c r="SHL46" s="196"/>
      <c r="SHM46" s="196"/>
      <c r="SHN46" s="647"/>
      <c r="SHO46" s="196"/>
      <c r="SHP46" s="646"/>
      <c r="SHQ46" s="1400"/>
      <c r="SHR46" s="1401"/>
      <c r="SHS46" s="196"/>
      <c r="SHT46" s="196"/>
      <c r="SHU46" s="196"/>
      <c r="SHV46" s="196"/>
      <c r="SHW46" s="196"/>
      <c r="SHX46" s="196"/>
      <c r="SHY46" s="647"/>
      <c r="SHZ46" s="196"/>
      <c r="SIA46" s="646"/>
      <c r="SIB46" s="1400"/>
      <c r="SIC46" s="1401"/>
      <c r="SID46" s="196"/>
      <c r="SIE46" s="196"/>
      <c r="SIF46" s="196"/>
      <c r="SIG46" s="196"/>
      <c r="SIH46" s="196"/>
      <c r="SII46" s="196"/>
      <c r="SIJ46" s="647"/>
      <c r="SIK46" s="196"/>
      <c r="SIL46" s="646"/>
      <c r="SIM46" s="1400"/>
      <c r="SIN46" s="1401"/>
      <c r="SIO46" s="196"/>
      <c r="SIP46" s="196"/>
      <c r="SIQ46" s="196"/>
      <c r="SIR46" s="196"/>
      <c r="SIS46" s="196"/>
      <c r="SIT46" s="196"/>
      <c r="SIU46" s="647"/>
      <c r="SIV46" s="196"/>
      <c r="SIW46" s="646"/>
      <c r="SIX46" s="1400"/>
      <c r="SIY46" s="1401"/>
      <c r="SIZ46" s="196"/>
      <c r="SJA46" s="196"/>
      <c r="SJB46" s="196"/>
      <c r="SJC46" s="196"/>
      <c r="SJD46" s="196"/>
      <c r="SJE46" s="196"/>
      <c r="SJF46" s="647"/>
      <c r="SJG46" s="196"/>
      <c r="SJH46" s="646"/>
      <c r="SJI46" s="1400"/>
      <c r="SJJ46" s="1401"/>
      <c r="SJK46" s="196"/>
      <c r="SJL46" s="196"/>
      <c r="SJM46" s="196"/>
      <c r="SJN46" s="196"/>
      <c r="SJO46" s="196"/>
      <c r="SJP46" s="196"/>
      <c r="SJQ46" s="647"/>
      <c r="SJR46" s="196"/>
      <c r="SJS46" s="646"/>
      <c r="SJT46" s="1400"/>
      <c r="SJU46" s="1401"/>
      <c r="SJV46" s="196"/>
      <c r="SJW46" s="196"/>
      <c r="SJX46" s="196"/>
      <c r="SJY46" s="196"/>
      <c r="SJZ46" s="196"/>
      <c r="SKA46" s="196"/>
      <c r="SKB46" s="647"/>
      <c r="SKC46" s="196"/>
      <c r="SKD46" s="646"/>
      <c r="SKE46" s="1400"/>
      <c r="SKF46" s="1401"/>
      <c r="SKG46" s="196"/>
      <c r="SKH46" s="196"/>
      <c r="SKI46" s="196"/>
      <c r="SKJ46" s="196"/>
      <c r="SKK46" s="196"/>
      <c r="SKL46" s="196"/>
      <c r="SKM46" s="647"/>
      <c r="SKN46" s="196"/>
      <c r="SKO46" s="646"/>
      <c r="SKP46" s="1400"/>
      <c r="SKQ46" s="1401"/>
      <c r="SKR46" s="196"/>
      <c r="SKS46" s="196"/>
      <c r="SKT46" s="196"/>
      <c r="SKU46" s="196"/>
      <c r="SKV46" s="196"/>
      <c r="SKW46" s="196"/>
      <c r="SKX46" s="647"/>
      <c r="SKY46" s="196"/>
      <c r="SKZ46" s="646"/>
      <c r="SLA46" s="1400"/>
      <c r="SLB46" s="1401"/>
      <c r="SLC46" s="196"/>
      <c r="SLD46" s="196"/>
      <c r="SLE46" s="196"/>
      <c r="SLF46" s="196"/>
      <c r="SLG46" s="196"/>
      <c r="SLH46" s="196"/>
      <c r="SLI46" s="647"/>
      <c r="SLJ46" s="196"/>
      <c r="SLK46" s="646"/>
      <c r="SLL46" s="1400"/>
      <c r="SLM46" s="1401"/>
      <c r="SLN46" s="196"/>
      <c r="SLO46" s="196"/>
      <c r="SLP46" s="196"/>
      <c r="SLQ46" s="196"/>
      <c r="SLR46" s="196"/>
      <c r="SLS46" s="196"/>
      <c r="SLT46" s="647"/>
      <c r="SLU46" s="196"/>
      <c r="SLV46" s="646"/>
      <c r="SLW46" s="1400"/>
      <c r="SLX46" s="1401"/>
      <c r="SLY46" s="196"/>
      <c r="SLZ46" s="196"/>
      <c r="SMA46" s="196"/>
      <c r="SMB46" s="196"/>
      <c r="SMC46" s="196"/>
      <c r="SMD46" s="196"/>
      <c r="SME46" s="647"/>
      <c r="SMF46" s="196"/>
      <c r="SMG46" s="646"/>
      <c r="SMH46" s="1400"/>
      <c r="SMI46" s="1401"/>
      <c r="SMJ46" s="196"/>
      <c r="SMK46" s="196"/>
      <c r="SML46" s="196"/>
      <c r="SMM46" s="196"/>
      <c r="SMN46" s="196"/>
      <c r="SMO46" s="196"/>
      <c r="SMP46" s="647"/>
      <c r="SMQ46" s="196"/>
      <c r="SMR46" s="646"/>
      <c r="SMS46" s="1400"/>
      <c r="SMT46" s="1401"/>
      <c r="SMU46" s="196"/>
      <c r="SMV46" s="196"/>
      <c r="SMW46" s="196"/>
      <c r="SMX46" s="196"/>
      <c r="SMY46" s="196"/>
      <c r="SMZ46" s="196"/>
      <c r="SNA46" s="647"/>
      <c r="SNB46" s="196"/>
      <c r="SNC46" s="646"/>
      <c r="SND46" s="1400"/>
      <c r="SNE46" s="1401"/>
      <c r="SNF46" s="196"/>
      <c r="SNG46" s="196"/>
      <c r="SNH46" s="196"/>
      <c r="SNI46" s="196"/>
      <c r="SNJ46" s="196"/>
      <c r="SNK46" s="196"/>
      <c r="SNL46" s="647"/>
      <c r="SNM46" s="196"/>
      <c r="SNN46" s="646"/>
      <c r="SNO46" s="1400"/>
      <c r="SNP46" s="1401"/>
      <c r="SNQ46" s="196"/>
      <c r="SNR46" s="196"/>
      <c r="SNS46" s="196"/>
      <c r="SNT46" s="196"/>
      <c r="SNU46" s="196"/>
      <c r="SNV46" s="196"/>
      <c r="SNW46" s="647"/>
      <c r="SNX46" s="196"/>
      <c r="SNY46" s="646"/>
      <c r="SNZ46" s="1400"/>
      <c r="SOA46" s="1401"/>
      <c r="SOB46" s="196"/>
      <c r="SOC46" s="196"/>
      <c r="SOD46" s="196"/>
      <c r="SOE46" s="196"/>
      <c r="SOF46" s="196"/>
      <c r="SOG46" s="196"/>
      <c r="SOH46" s="647"/>
      <c r="SOI46" s="196"/>
      <c r="SOJ46" s="646"/>
      <c r="SOK46" s="1400"/>
      <c r="SOL46" s="1401"/>
      <c r="SOM46" s="196"/>
      <c r="SON46" s="196"/>
      <c r="SOO46" s="196"/>
      <c r="SOP46" s="196"/>
      <c r="SOQ46" s="196"/>
      <c r="SOR46" s="196"/>
      <c r="SOS46" s="647"/>
      <c r="SOT46" s="196"/>
      <c r="SOU46" s="646"/>
      <c r="SOV46" s="1400"/>
      <c r="SOW46" s="1401"/>
      <c r="SOX46" s="196"/>
      <c r="SOY46" s="196"/>
      <c r="SOZ46" s="196"/>
      <c r="SPA46" s="196"/>
      <c r="SPB46" s="196"/>
      <c r="SPC46" s="196"/>
      <c r="SPD46" s="647"/>
      <c r="SPE46" s="196"/>
      <c r="SPF46" s="646"/>
      <c r="SPG46" s="1400"/>
      <c r="SPH46" s="1401"/>
      <c r="SPI46" s="196"/>
      <c r="SPJ46" s="196"/>
      <c r="SPK46" s="196"/>
      <c r="SPL46" s="196"/>
      <c r="SPM46" s="196"/>
      <c r="SPN46" s="196"/>
      <c r="SPO46" s="647"/>
      <c r="SPP46" s="196"/>
      <c r="SPQ46" s="646"/>
      <c r="SPR46" s="1400"/>
      <c r="SPS46" s="1401"/>
      <c r="SPT46" s="196"/>
      <c r="SPU46" s="196"/>
      <c r="SPV46" s="196"/>
      <c r="SPW46" s="196"/>
      <c r="SPX46" s="196"/>
      <c r="SPY46" s="196"/>
      <c r="SPZ46" s="647"/>
      <c r="SQA46" s="196"/>
      <c r="SQB46" s="646"/>
      <c r="SQC46" s="1400"/>
      <c r="SQD46" s="1401"/>
      <c r="SQE46" s="196"/>
      <c r="SQF46" s="196"/>
      <c r="SQG46" s="196"/>
      <c r="SQH46" s="196"/>
      <c r="SQI46" s="196"/>
      <c r="SQJ46" s="196"/>
      <c r="SQK46" s="647"/>
      <c r="SQL46" s="196"/>
      <c r="SQM46" s="646"/>
      <c r="SQN46" s="1400"/>
      <c r="SQO46" s="1401"/>
      <c r="SQP46" s="196"/>
      <c r="SQQ46" s="196"/>
      <c r="SQR46" s="196"/>
      <c r="SQS46" s="196"/>
      <c r="SQT46" s="196"/>
      <c r="SQU46" s="196"/>
      <c r="SQV46" s="647"/>
      <c r="SQW46" s="196"/>
      <c r="SQX46" s="646"/>
      <c r="SQY46" s="1400"/>
      <c r="SQZ46" s="1401"/>
      <c r="SRA46" s="196"/>
      <c r="SRB46" s="196"/>
      <c r="SRC46" s="196"/>
      <c r="SRD46" s="196"/>
      <c r="SRE46" s="196"/>
      <c r="SRF46" s="196"/>
      <c r="SRG46" s="647"/>
      <c r="SRH46" s="196"/>
      <c r="SRI46" s="646"/>
      <c r="SRJ46" s="1400"/>
      <c r="SRK46" s="1401"/>
      <c r="SRL46" s="196"/>
      <c r="SRM46" s="196"/>
      <c r="SRN46" s="196"/>
      <c r="SRO46" s="196"/>
      <c r="SRP46" s="196"/>
      <c r="SRQ46" s="196"/>
      <c r="SRR46" s="647"/>
      <c r="SRS46" s="196"/>
      <c r="SRT46" s="646"/>
      <c r="SRU46" s="1400"/>
      <c r="SRV46" s="1401"/>
      <c r="SRW46" s="196"/>
      <c r="SRX46" s="196"/>
      <c r="SRY46" s="196"/>
      <c r="SRZ46" s="196"/>
      <c r="SSA46" s="196"/>
      <c r="SSB46" s="196"/>
      <c r="SSC46" s="647"/>
      <c r="SSD46" s="196"/>
      <c r="SSE46" s="646"/>
      <c r="SSF46" s="1400"/>
      <c r="SSG46" s="1401"/>
      <c r="SSH46" s="196"/>
      <c r="SSI46" s="196"/>
      <c r="SSJ46" s="196"/>
      <c r="SSK46" s="196"/>
      <c r="SSL46" s="196"/>
      <c r="SSM46" s="196"/>
      <c r="SSN46" s="647"/>
      <c r="SSO46" s="196"/>
      <c r="SSP46" s="646"/>
      <c r="SSQ46" s="1400"/>
      <c r="SSR46" s="1401"/>
      <c r="SSS46" s="196"/>
      <c r="SST46" s="196"/>
      <c r="SSU46" s="196"/>
      <c r="SSV46" s="196"/>
      <c r="SSW46" s="196"/>
      <c r="SSX46" s="196"/>
      <c r="SSY46" s="647"/>
      <c r="SSZ46" s="196"/>
      <c r="STA46" s="646"/>
      <c r="STB46" s="1400"/>
      <c r="STC46" s="1401"/>
      <c r="STD46" s="196"/>
      <c r="STE46" s="196"/>
      <c r="STF46" s="196"/>
      <c r="STG46" s="196"/>
      <c r="STH46" s="196"/>
      <c r="STI46" s="196"/>
      <c r="STJ46" s="647"/>
      <c r="STK46" s="196"/>
      <c r="STL46" s="646"/>
      <c r="STM46" s="1400"/>
      <c r="STN46" s="1401"/>
      <c r="STO46" s="196"/>
      <c r="STP46" s="196"/>
      <c r="STQ46" s="196"/>
      <c r="STR46" s="196"/>
      <c r="STS46" s="196"/>
      <c r="STT46" s="196"/>
      <c r="STU46" s="647"/>
      <c r="STV46" s="196"/>
      <c r="STW46" s="646"/>
      <c r="STX46" s="1400"/>
      <c r="STY46" s="1401"/>
      <c r="STZ46" s="196"/>
      <c r="SUA46" s="196"/>
      <c r="SUB46" s="196"/>
      <c r="SUC46" s="196"/>
      <c r="SUD46" s="196"/>
      <c r="SUE46" s="196"/>
      <c r="SUF46" s="647"/>
      <c r="SUG46" s="196"/>
      <c r="SUH46" s="646"/>
      <c r="SUI46" s="1400"/>
      <c r="SUJ46" s="1401"/>
      <c r="SUK46" s="196"/>
      <c r="SUL46" s="196"/>
      <c r="SUM46" s="196"/>
      <c r="SUN46" s="196"/>
      <c r="SUO46" s="196"/>
      <c r="SUP46" s="196"/>
      <c r="SUQ46" s="647"/>
      <c r="SUR46" s="196"/>
      <c r="SUS46" s="646"/>
      <c r="SUT46" s="1400"/>
      <c r="SUU46" s="1401"/>
      <c r="SUV46" s="196"/>
      <c r="SUW46" s="196"/>
      <c r="SUX46" s="196"/>
      <c r="SUY46" s="196"/>
      <c r="SUZ46" s="196"/>
      <c r="SVA46" s="196"/>
      <c r="SVB46" s="647"/>
      <c r="SVC46" s="196"/>
      <c r="SVD46" s="646"/>
      <c r="SVE46" s="1400"/>
      <c r="SVF46" s="1401"/>
      <c r="SVG46" s="196"/>
      <c r="SVH46" s="196"/>
      <c r="SVI46" s="196"/>
      <c r="SVJ46" s="196"/>
      <c r="SVK46" s="196"/>
      <c r="SVL46" s="196"/>
      <c r="SVM46" s="647"/>
      <c r="SVN46" s="196"/>
      <c r="SVO46" s="646"/>
      <c r="SVP46" s="1400"/>
      <c r="SVQ46" s="1401"/>
      <c r="SVR46" s="196"/>
      <c r="SVS46" s="196"/>
      <c r="SVT46" s="196"/>
      <c r="SVU46" s="196"/>
      <c r="SVV46" s="196"/>
      <c r="SVW46" s="196"/>
      <c r="SVX46" s="647"/>
      <c r="SVY46" s="196"/>
      <c r="SVZ46" s="646"/>
      <c r="SWA46" s="1400"/>
      <c r="SWB46" s="1401"/>
      <c r="SWC46" s="196"/>
      <c r="SWD46" s="196"/>
      <c r="SWE46" s="196"/>
      <c r="SWF46" s="196"/>
      <c r="SWG46" s="196"/>
      <c r="SWH46" s="196"/>
      <c r="SWI46" s="647"/>
      <c r="SWJ46" s="196"/>
      <c r="SWK46" s="646"/>
      <c r="SWL46" s="1400"/>
      <c r="SWM46" s="1401"/>
      <c r="SWN46" s="196"/>
      <c r="SWO46" s="196"/>
      <c r="SWP46" s="196"/>
      <c r="SWQ46" s="196"/>
      <c r="SWR46" s="196"/>
      <c r="SWS46" s="196"/>
      <c r="SWT46" s="647"/>
      <c r="SWU46" s="196"/>
      <c r="SWV46" s="646"/>
      <c r="SWW46" s="1400"/>
      <c r="SWX46" s="1401"/>
      <c r="SWY46" s="196"/>
      <c r="SWZ46" s="196"/>
      <c r="SXA46" s="196"/>
      <c r="SXB46" s="196"/>
      <c r="SXC46" s="196"/>
      <c r="SXD46" s="196"/>
      <c r="SXE46" s="647"/>
      <c r="SXF46" s="196"/>
      <c r="SXG46" s="646"/>
      <c r="SXH46" s="1400"/>
      <c r="SXI46" s="1401"/>
      <c r="SXJ46" s="196"/>
      <c r="SXK46" s="196"/>
      <c r="SXL46" s="196"/>
      <c r="SXM46" s="196"/>
      <c r="SXN46" s="196"/>
      <c r="SXO46" s="196"/>
      <c r="SXP46" s="647"/>
      <c r="SXQ46" s="196"/>
      <c r="SXR46" s="646"/>
      <c r="SXS46" s="1400"/>
      <c r="SXT46" s="1401"/>
      <c r="SXU46" s="196"/>
      <c r="SXV46" s="196"/>
      <c r="SXW46" s="196"/>
      <c r="SXX46" s="196"/>
      <c r="SXY46" s="196"/>
      <c r="SXZ46" s="196"/>
      <c r="SYA46" s="647"/>
      <c r="SYB46" s="196"/>
      <c r="SYC46" s="646"/>
      <c r="SYD46" s="1400"/>
      <c r="SYE46" s="1401"/>
      <c r="SYF46" s="196"/>
      <c r="SYG46" s="196"/>
      <c r="SYH46" s="196"/>
      <c r="SYI46" s="196"/>
      <c r="SYJ46" s="196"/>
      <c r="SYK46" s="196"/>
      <c r="SYL46" s="647"/>
      <c r="SYM46" s="196"/>
      <c r="SYN46" s="646"/>
      <c r="SYO46" s="1400"/>
      <c r="SYP46" s="1401"/>
      <c r="SYQ46" s="196"/>
      <c r="SYR46" s="196"/>
      <c r="SYS46" s="196"/>
      <c r="SYT46" s="196"/>
      <c r="SYU46" s="196"/>
      <c r="SYV46" s="196"/>
      <c r="SYW46" s="647"/>
      <c r="SYX46" s="196"/>
      <c r="SYY46" s="646"/>
      <c r="SYZ46" s="1400"/>
      <c r="SZA46" s="1401"/>
      <c r="SZB46" s="196"/>
      <c r="SZC46" s="196"/>
      <c r="SZD46" s="196"/>
      <c r="SZE46" s="196"/>
      <c r="SZF46" s="196"/>
      <c r="SZG46" s="196"/>
      <c r="SZH46" s="647"/>
      <c r="SZI46" s="196"/>
      <c r="SZJ46" s="646"/>
      <c r="SZK46" s="1400"/>
      <c r="SZL46" s="1401"/>
      <c r="SZM46" s="196"/>
      <c r="SZN46" s="196"/>
      <c r="SZO46" s="196"/>
      <c r="SZP46" s="196"/>
      <c r="SZQ46" s="196"/>
      <c r="SZR46" s="196"/>
      <c r="SZS46" s="647"/>
      <c r="SZT46" s="196"/>
      <c r="SZU46" s="646"/>
      <c r="SZV46" s="1400"/>
      <c r="SZW46" s="1401"/>
      <c r="SZX46" s="196"/>
      <c r="SZY46" s="196"/>
      <c r="SZZ46" s="196"/>
      <c r="TAA46" s="196"/>
      <c r="TAB46" s="196"/>
      <c r="TAC46" s="196"/>
      <c r="TAD46" s="647"/>
      <c r="TAE46" s="196"/>
      <c r="TAF46" s="646"/>
      <c r="TAG46" s="1400"/>
      <c r="TAH46" s="1401"/>
      <c r="TAI46" s="196"/>
      <c r="TAJ46" s="196"/>
      <c r="TAK46" s="196"/>
      <c r="TAL46" s="196"/>
      <c r="TAM46" s="196"/>
      <c r="TAN46" s="196"/>
      <c r="TAO46" s="647"/>
      <c r="TAP46" s="196"/>
      <c r="TAQ46" s="646"/>
      <c r="TAR46" s="1400"/>
      <c r="TAS46" s="1401"/>
      <c r="TAT46" s="196"/>
      <c r="TAU46" s="196"/>
      <c r="TAV46" s="196"/>
      <c r="TAW46" s="196"/>
      <c r="TAX46" s="196"/>
      <c r="TAY46" s="196"/>
      <c r="TAZ46" s="647"/>
      <c r="TBA46" s="196"/>
      <c r="TBB46" s="646"/>
      <c r="TBC46" s="1400"/>
      <c r="TBD46" s="1401"/>
      <c r="TBE46" s="196"/>
      <c r="TBF46" s="196"/>
      <c r="TBG46" s="196"/>
      <c r="TBH46" s="196"/>
      <c r="TBI46" s="196"/>
      <c r="TBJ46" s="196"/>
      <c r="TBK46" s="647"/>
      <c r="TBL46" s="196"/>
      <c r="TBM46" s="646"/>
      <c r="TBN46" s="1400"/>
      <c r="TBO46" s="1401"/>
      <c r="TBP46" s="196"/>
      <c r="TBQ46" s="196"/>
      <c r="TBR46" s="196"/>
      <c r="TBS46" s="196"/>
      <c r="TBT46" s="196"/>
      <c r="TBU46" s="196"/>
      <c r="TBV46" s="647"/>
      <c r="TBW46" s="196"/>
      <c r="TBX46" s="646"/>
      <c r="TBY46" s="1400"/>
      <c r="TBZ46" s="1401"/>
      <c r="TCA46" s="196"/>
      <c r="TCB46" s="196"/>
      <c r="TCC46" s="196"/>
      <c r="TCD46" s="196"/>
      <c r="TCE46" s="196"/>
      <c r="TCF46" s="196"/>
      <c r="TCG46" s="647"/>
      <c r="TCH46" s="196"/>
      <c r="TCI46" s="646"/>
      <c r="TCJ46" s="1400"/>
      <c r="TCK46" s="1401"/>
      <c r="TCL46" s="196"/>
      <c r="TCM46" s="196"/>
      <c r="TCN46" s="196"/>
      <c r="TCO46" s="196"/>
      <c r="TCP46" s="196"/>
      <c r="TCQ46" s="196"/>
      <c r="TCR46" s="647"/>
      <c r="TCS46" s="196"/>
      <c r="TCT46" s="646"/>
      <c r="TCU46" s="1400"/>
      <c r="TCV46" s="1401"/>
      <c r="TCW46" s="196"/>
      <c r="TCX46" s="196"/>
      <c r="TCY46" s="196"/>
      <c r="TCZ46" s="196"/>
      <c r="TDA46" s="196"/>
      <c r="TDB46" s="196"/>
      <c r="TDC46" s="647"/>
      <c r="TDD46" s="196"/>
      <c r="TDE46" s="646"/>
      <c r="TDF46" s="1400"/>
      <c r="TDG46" s="1401"/>
      <c r="TDH46" s="196"/>
      <c r="TDI46" s="196"/>
      <c r="TDJ46" s="196"/>
      <c r="TDK46" s="196"/>
      <c r="TDL46" s="196"/>
      <c r="TDM46" s="196"/>
      <c r="TDN46" s="647"/>
      <c r="TDO46" s="196"/>
      <c r="TDP46" s="646"/>
      <c r="TDQ46" s="1400"/>
      <c r="TDR46" s="1401"/>
      <c r="TDS46" s="196"/>
      <c r="TDT46" s="196"/>
      <c r="TDU46" s="196"/>
      <c r="TDV46" s="196"/>
      <c r="TDW46" s="196"/>
      <c r="TDX46" s="196"/>
      <c r="TDY46" s="647"/>
      <c r="TDZ46" s="196"/>
      <c r="TEA46" s="646"/>
      <c r="TEB46" s="1400"/>
      <c r="TEC46" s="1401"/>
      <c r="TED46" s="196"/>
      <c r="TEE46" s="196"/>
      <c r="TEF46" s="196"/>
      <c r="TEG46" s="196"/>
      <c r="TEH46" s="196"/>
      <c r="TEI46" s="196"/>
      <c r="TEJ46" s="647"/>
      <c r="TEK46" s="196"/>
      <c r="TEL46" s="646"/>
      <c r="TEM46" s="1400"/>
      <c r="TEN46" s="1401"/>
      <c r="TEO46" s="196"/>
      <c r="TEP46" s="196"/>
      <c r="TEQ46" s="196"/>
      <c r="TER46" s="196"/>
      <c r="TES46" s="196"/>
      <c r="TET46" s="196"/>
      <c r="TEU46" s="647"/>
      <c r="TEV46" s="196"/>
      <c r="TEW46" s="646"/>
      <c r="TEX46" s="1400"/>
      <c r="TEY46" s="1401"/>
      <c r="TEZ46" s="196"/>
      <c r="TFA46" s="196"/>
      <c r="TFB46" s="196"/>
      <c r="TFC46" s="196"/>
      <c r="TFD46" s="196"/>
      <c r="TFE46" s="196"/>
      <c r="TFF46" s="647"/>
      <c r="TFG46" s="196"/>
      <c r="TFH46" s="646"/>
      <c r="TFI46" s="1400"/>
      <c r="TFJ46" s="1401"/>
      <c r="TFK46" s="196"/>
      <c r="TFL46" s="196"/>
      <c r="TFM46" s="196"/>
      <c r="TFN46" s="196"/>
      <c r="TFO46" s="196"/>
      <c r="TFP46" s="196"/>
      <c r="TFQ46" s="647"/>
      <c r="TFR46" s="196"/>
      <c r="TFS46" s="646"/>
      <c r="TFT46" s="1400"/>
      <c r="TFU46" s="1401"/>
      <c r="TFV46" s="196"/>
      <c r="TFW46" s="196"/>
      <c r="TFX46" s="196"/>
      <c r="TFY46" s="196"/>
      <c r="TFZ46" s="196"/>
      <c r="TGA46" s="196"/>
      <c r="TGB46" s="647"/>
      <c r="TGC46" s="196"/>
      <c r="TGD46" s="646"/>
      <c r="TGE46" s="1400"/>
      <c r="TGF46" s="1401"/>
      <c r="TGG46" s="196"/>
      <c r="TGH46" s="196"/>
      <c r="TGI46" s="196"/>
      <c r="TGJ46" s="196"/>
      <c r="TGK46" s="196"/>
      <c r="TGL46" s="196"/>
      <c r="TGM46" s="647"/>
      <c r="TGN46" s="196"/>
      <c r="TGO46" s="646"/>
      <c r="TGP46" s="1400"/>
      <c r="TGQ46" s="1401"/>
      <c r="TGR46" s="196"/>
      <c r="TGS46" s="196"/>
      <c r="TGT46" s="196"/>
      <c r="TGU46" s="196"/>
      <c r="TGV46" s="196"/>
      <c r="TGW46" s="196"/>
      <c r="TGX46" s="647"/>
      <c r="TGY46" s="196"/>
      <c r="TGZ46" s="646"/>
      <c r="THA46" s="1400"/>
      <c r="THB46" s="1401"/>
      <c r="THC46" s="196"/>
      <c r="THD46" s="196"/>
      <c r="THE46" s="196"/>
      <c r="THF46" s="196"/>
      <c r="THG46" s="196"/>
      <c r="THH46" s="196"/>
      <c r="THI46" s="647"/>
      <c r="THJ46" s="196"/>
      <c r="THK46" s="646"/>
      <c r="THL46" s="1400"/>
      <c r="THM46" s="1401"/>
      <c r="THN46" s="196"/>
      <c r="THO46" s="196"/>
      <c r="THP46" s="196"/>
      <c r="THQ46" s="196"/>
      <c r="THR46" s="196"/>
      <c r="THS46" s="196"/>
      <c r="THT46" s="647"/>
      <c r="THU46" s="196"/>
      <c r="THV46" s="646"/>
      <c r="THW46" s="1400"/>
      <c r="THX46" s="1401"/>
      <c r="THY46" s="196"/>
      <c r="THZ46" s="196"/>
      <c r="TIA46" s="196"/>
      <c r="TIB46" s="196"/>
      <c r="TIC46" s="196"/>
      <c r="TID46" s="196"/>
      <c r="TIE46" s="647"/>
      <c r="TIF46" s="196"/>
      <c r="TIG46" s="646"/>
      <c r="TIH46" s="1400"/>
      <c r="TII46" s="1401"/>
      <c r="TIJ46" s="196"/>
      <c r="TIK46" s="196"/>
      <c r="TIL46" s="196"/>
      <c r="TIM46" s="196"/>
      <c r="TIN46" s="196"/>
      <c r="TIO46" s="196"/>
      <c r="TIP46" s="647"/>
      <c r="TIQ46" s="196"/>
      <c r="TIR46" s="646"/>
      <c r="TIS46" s="1400"/>
      <c r="TIT46" s="1401"/>
      <c r="TIU46" s="196"/>
      <c r="TIV46" s="196"/>
      <c r="TIW46" s="196"/>
      <c r="TIX46" s="196"/>
      <c r="TIY46" s="196"/>
      <c r="TIZ46" s="196"/>
      <c r="TJA46" s="647"/>
      <c r="TJB46" s="196"/>
      <c r="TJC46" s="646"/>
      <c r="TJD46" s="1400"/>
      <c r="TJE46" s="1401"/>
      <c r="TJF46" s="196"/>
      <c r="TJG46" s="196"/>
      <c r="TJH46" s="196"/>
      <c r="TJI46" s="196"/>
      <c r="TJJ46" s="196"/>
      <c r="TJK46" s="196"/>
      <c r="TJL46" s="647"/>
      <c r="TJM46" s="196"/>
      <c r="TJN46" s="646"/>
      <c r="TJO46" s="1400"/>
      <c r="TJP46" s="1401"/>
      <c r="TJQ46" s="196"/>
      <c r="TJR46" s="196"/>
      <c r="TJS46" s="196"/>
      <c r="TJT46" s="196"/>
      <c r="TJU46" s="196"/>
      <c r="TJV46" s="196"/>
      <c r="TJW46" s="647"/>
      <c r="TJX46" s="196"/>
      <c r="TJY46" s="646"/>
      <c r="TJZ46" s="1400"/>
      <c r="TKA46" s="1401"/>
      <c r="TKB46" s="196"/>
      <c r="TKC46" s="196"/>
      <c r="TKD46" s="196"/>
      <c r="TKE46" s="196"/>
      <c r="TKF46" s="196"/>
      <c r="TKG46" s="196"/>
      <c r="TKH46" s="647"/>
      <c r="TKI46" s="196"/>
      <c r="TKJ46" s="646"/>
      <c r="TKK46" s="1400"/>
      <c r="TKL46" s="1401"/>
      <c r="TKM46" s="196"/>
      <c r="TKN46" s="196"/>
      <c r="TKO46" s="196"/>
      <c r="TKP46" s="196"/>
      <c r="TKQ46" s="196"/>
      <c r="TKR46" s="196"/>
      <c r="TKS46" s="647"/>
      <c r="TKT46" s="196"/>
      <c r="TKU46" s="646"/>
      <c r="TKV46" s="1400"/>
      <c r="TKW46" s="1401"/>
      <c r="TKX46" s="196"/>
      <c r="TKY46" s="196"/>
      <c r="TKZ46" s="196"/>
      <c r="TLA46" s="196"/>
      <c r="TLB46" s="196"/>
      <c r="TLC46" s="196"/>
      <c r="TLD46" s="647"/>
      <c r="TLE46" s="196"/>
      <c r="TLF46" s="646"/>
      <c r="TLG46" s="1400"/>
      <c r="TLH46" s="1401"/>
      <c r="TLI46" s="196"/>
      <c r="TLJ46" s="196"/>
      <c r="TLK46" s="196"/>
      <c r="TLL46" s="196"/>
      <c r="TLM46" s="196"/>
      <c r="TLN46" s="196"/>
      <c r="TLO46" s="647"/>
      <c r="TLP46" s="196"/>
      <c r="TLQ46" s="646"/>
      <c r="TLR46" s="1400"/>
      <c r="TLS46" s="1401"/>
      <c r="TLT46" s="196"/>
      <c r="TLU46" s="196"/>
      <c r="TLV46" s="196"/>
      <c r="TLW46" s="196"/>
      <c r="TLX46" s="196"/>
      <c r="TLY46" s="196"/>
      <c r="TLZ46" s="647"/>
      <c r="TMA46" s="196"/>
      <c r="TMB46" s="646"/>
      <c r="TMC46" s="1400"/>
      <c r="TMD46" s="1401"/>
      <c r="TME46" s="196"/>
      <c r="TMF46" s="196"/>
      <c r="TMG46" s="196"/>
      <c r="TMH46" s="196"/>
      <c r="TMI46" s="196"/>
      <c r="TMJ46" s="196"/>
      <c r="TMK46" s="647"/>
      <c r="TML46" s="196"/>
      <c r="TMM46" s="646"/>
      <c r="TMN46" s="1400"/>
      <c r="TMO46" s="1401"/>
      <c r="TMP46" s="196"/>
      <c r="TMQ46" s="196"/>
      <c r="TMR46" s="196"/>
      <c r="TMS46" s="196"/>
      <c r="TMT46" s="196"/>
      <c r="TMU46" s="196"/>
      <c r="TMV46" s="647"/>
      <c r="TMW46" s="196"/>
      <c r="TMX46" s="646"/>
      <c r="TMY46" s="1400"/>
      <c r="TMZ46" s="1401"/>
      <c r="TNA46" s="196"/>
      <c r="TNB46" s="196"/>
      <c r="TNC46" s="196"/>
      <c r="TND46" s="196"/>
      <c r="TNE46" s="196"/>
      <c r="TNF46" s="196"/>
      <c r="TNG46" s="647"/>
      <c r="TNH46" s="196"/>
      <c r="TNI46" s="646"/>
      <c r="TNJ46" s="1400"/>
      <c r="TNK46" s="1401"/>
      <c r="TNL46" s="196"/>
      <c r="TNM46" s="196"/>
      <c r="TNN46" s="196"/>
      <c r="TNO46" s="196"/>
      <c r="TNP46" s="196"/>
      <c r="TNQ46" s="196"/>
      <c r="TNR46" s="647"/>
      <c r="TNS46" s="196"/>
      <c r="TNT46" s="646"/>
      <c r="TNU46" s="1400"/>
      <c r="TNV46" s="1401"/>
      <c r="TNW46" s="196"/>
      <c r="TNX46" s="196"/>
      <c r="TNY46" s="196"/>
      <c r="TNZ46" s="196"/>
      <c r="TOA46" s="196"/>
      <c r="TOB46" s="196"/>
      <c r="TOC46" s="647"/>
      <c r="TOD46" s="196"/>
      <c r="TOE46" s="646"/>
      <c r="TOF46" s="1400"/>
      <c r="TOG46" s="1401"/>
      <c r="TOH46" s="196"/>
      <c r="TOI46" s="196"/>
      <c r="TOJ46" s="196"/>
      <c r="TOK46" s="196"/>
      <c r="TOL46" s="196"/>
      <c r="TOM46" s="196"/>
      <c r="TON46" s="647"/>
      <c r="TOO46" s="196"/>
      <c r="TOP46" s="646"/>
      <c r="TOQ46" s="1400"/>
      <c r="TOR46" s="1401"/>
      <c r="TOS46" s="196"/>
      <c r="TOT46" s="196"/>
      <c r="TOU46" s="196"/>
      <c r="TOV46" s="196"/>
      <c r="TOW46" s="196"/>
      <c r="TOX46" s="196"/>
      <c r="TOY46" s="647"/>
      <c r="TOZ46" s="196"/>
      <c r="TPA46" s="646"/>
      <c r="TPB46" s="1400"/>
      <c r="TPC46" s="1401"/>
      <c r="TPD46" s="196"/>
      <c r="TPE46" s="196"/>
      <c r="TPF46" s="196"/>
      <c r="TPG46" s="196"/>
      <c r="TPH46" s="196"/>
      <c r="TPI46" s="196"/>
      <c r="TPJ46" s="647"/>
      <c r="TPK46" s="196"/>
      <c r="TPL46" s="646"/>
      <c r="TPM46" s="1400"/>
      <c r="TPN46" s="1401"/>
      <c r="TPO46" s="196"/>
      <c r="TPP46" s="196"/>
      <c r="TPQ46" s="196"/>
      <c r="TPR46" s="196"/>
      <c r="TPS46" s="196"/>
      <c r="TPT46" s="196"/>
      <c r="TPU46" s="647"/>
      <c r="TPV46" s="196"/>
      <c r="TPW46" s="646"/>
      <c r="TPX46" s="1400"/>
      <c r="TPY46" s="1401"/>
      <c r="TPZ46" s="196"/>
      <c r="TQA46" s="196"/>
      <c r="TQB46" s="196"/>
      <c r="TQC46" s="196"/>
      <c r="TQD46" s="196"/>
      <c r="TQE46" s="196"/>
      <c r="TQF46" s="647"/>
      <c r="TQG46" s="196"/>
      <c r="TQH46" s="646"/>
      <c r="TQI46" s="1400"/>
      <c r="TQJ46" s="1401"/>
      <c r="TQK46" s="196"/>
      <c r="TQL46" s="196"/>
      <c r="TQM46" s="196"/>
      <c r="TQN46" s="196"/>
      <c r="TQO46" s="196"/>
      <c r="TQP46" s="196"/>
      <c r="TQQ46" s="647"/>
      <c r="TQR46" s="196"/>
      <c r="TQS46" s="646"/>
      <c r="TQT46" s="1400"/>
      <c r="TQU46" s="1401"/>
      <c r="TQV46" s="196"/>
      <c r="TQW46" s="196"/>
      <c r="TQX46" s="196"/>
      <c r="TQY46" s="196"/>
      <c r="TQZ46" s="196"/>
      <c r="TRA46" s="196"/>
      <c r="TRB46" s="647"/>
      <c r="TRC46" s="196"/>
      <c r="TRD46" s="646"/>
      <c r="TRE46" s="1400"/>
      <c r="TRF46" s="1401"/>
      <c r="TRG46" s="196"/>
      <c r="TRH46" s="196"/>
      <c r="TRI46" s="196"/>
      <c r="TRJ46" s="196"/>
      <c r="TRK46" s="196"/>
      <c r="TRL46" s="196"/>
      <c r="TRM46" s="647"/>
      <c r="TRN46" s="196"/>
      <c r="TRO46" s="646"/>
      <c r="TRP46" s="1400"/>
      <c r="TRQ46" s="1401"/>
      <c r="TRR46" s="196"/>
      <c r="TRS46" s="196"/>
      <c r="TRT46" s="196"/>
      <c r="TRU46" s="196"/>
      <c r="TRV46" s="196"/>
      <c r="TRW46" s="196"/>
      <c r="TRX46" s="647"/>
      <c r="TRY46" s="196"/>
      <c r="TRZ46" s="646"/>
      <c r="TSA46" s="1400"/>
      <c r="TSB46" s="1401"/>
      <c r="TSC46" s="196"/>
      <c r="TSD46" s="196"/>
      <c r="TSE46" s="196"/>
      <c r="TSF46" s="196"/>
      <c r="TSG46" s="196"/>
      <c r="TSH46" s="196"/>
      <c r="TSI46" s="647"/>
      <c r="TSJ46" s="196"/>
      <c r="TSK46" s="646"/>
      <c r="TSL46" s="1400"/>
      <c r="TSM46" s="1401"/>
      <c r="TSN46" s="196"/>
      <c r="TSO46" s="196"/>
      <c r="TSP46" s="196"/>
      <c r="TSQ46" s="196"/>
      <c r="TSR46" s="196"/>
      <c r="TSS46" s="196"/>
      <c r="TST46" s="647"/>
      <c r="TSU46" s="196"/>
      <c r="TSV46" s="646"/>
      <c r="TSW46" s="1400"/>
      <c r="TSX46" s="1401"/>
      <c r="TSY46" s="196"/>
      <c r="TSZ46" s="196"/>
      <c r="TTA46" s="196"/>
      <c r="TTB46" s="196"/>
      <c r="TTC46" s="196"/>
      <c r="TTD46" s="196"/>
      <c r="TTE46" s="647"/>
      <c r="TTF46" s="196"/>
      <c r="TTG46" s="646"/>
      <c r="TTH46" s="1400"/>
      <c r="TTI46" s="1401"/>
      <c r="TTJ46" s="196"/>
      <c r="TTK46" s="196"/>
      <c r="TTL46" s="196"/>
      <c r="TTM46" s="196"/>
      <c r="TTN46" s="196"/>
      <c r="TTO46" s="196"/>
      <c r="TTP46" s="647"/>
      <c r="TTQ46" s="196"/>
      <c r="TTR46" s="646"/>
      <c r="TTS46" s="1400"/>
      <c r="TTT46" s="1401"/>
      <c r="TTU46" s="196"/>
      <c r="TTV46" s="196"/>
      <c r="TTW46" s="196"/>
      <c r="TTX46" s="196"/>
      <c r="TTY46" s="196"/>
      <c r="TTZ46" s="196"/>
      <c r="TUA46" s="647"/>
      <c r="TUB46" s="196"/>
      <c r="TUC46" s="646"/>
      <c r="TUD46" s="1400"/>
      <c r="TUE46" s="1401"/>
      <c r="TUF46" s="196"/>
      <c r="TUG46" s="196"/>
      <c r="TUH46" s="196"/>
      <c r="TUI46" s="196"/>
      <c r="TUJ46" s="196"/>
      <c r="TUK46" s="196"/>
      <c r="TUL46" s="647"/>
      <c r="TUM46" s="196"/>
      <c r="TUN46" s="646"/>
      <c r="TUO46" s="1400"/>
      <c r="TUP46" s="1401"/>
      <c r="TUQ46" s="196"/>
      <c r="TUR46" s="196"/>
      <c r="TUS46" s="196"/>
      <c r="TUT46" s="196"/>
      <c r="TUU46" s="196"/>
      <c r="TUV46" s="196"/>
      <c r="TUW46" s="647"/>
      <c r="TUX46" s="196"/>
      <c r="TUY46" s="646"/>
      <c r="TUZ46" s="1400"/>
      <c r="TVA46" s="1401"/>
      <c r="TVB46" s="196"/>
      <c r="TVC46" s="196"/>
      <c r="TVD46" s="196"/>
      <c r="TVE46" s="196"/>
      <c r="TVF46" s="196"/>
      <c r="TVG46" s="196"/>
      <c r="TVH46" s="647"/>
      <c r="TVI46" s="196"/>
      <c r="TVJ46" s="646"/>
      <c r="TVK46" s="1400"/>
      <c r="TVL46" s="1401"/>
      <c r="TVM46" s="196"/>
      <c r="TVN46" s="196"/>
      <c r="TVO46" s="196"/>
      <c r="TVP46" s="196"/>
      <c r="TVQ46" s="196"/>
      <c r="TVR46" s="196"/>
      <c r="TVS46" s="647"/>
      <c r="TVT46" s="196"/>
      <c r="TVU46" s="646"/>
      <c r="TVV46" s="1400"/>
      <c r="TVW46" s="1401"/>
      <c r="TVX46" s="196"/>
      <c r="TVY46" s="196"/>
      <c r="TVZ46" s="196"/>
      <c r="TWA46" s="196"/>
      <c r="TWB46" s="196"/>
      <c r="TWC46" s="196"/>
      <c r="TWD46" s="647"/>
      <c r="TWE46" s="196"/>
      <c r="TWF46" s="646"/>
      <c r="TWG46" s="1400"/>
      <c r="TWH46" s="1401"/>
      <c r="TWI46" s="196"/>
      <c r="TWJ46" s="196"/>
      <c r="TWK46" s="196"/>
      <c r="TWL46" s="196"/>
      <c r="TWM46" s="196"/>
      <c r="TWN46" s="196"/>
      <c r="TWO46" s="647"/>
      <c r="TWP46" s="196"/>
      <c r="TWQ46" s="646"/>
      <c r="TWR46" s="1400"/>
      <c r="TWS46" s="1401"/>
      <c r="TWT46" s="196"/>
      <c r="TWU46" s="196"/>
      <c r="TWV46" s="196"/>
      <c r="TWW46" s="196"/>
      <c r="TWX46" s="196"/>
      <c r="TWY46" s="196"/>
      <c r="TWZ46" s="647"/>
      <c r="TXA46" s="196"/>
      <c r="TXB46" s="646"/>
      <c r="TXC46" s="1400"/>
      <c r="TXD46" s="1401"/>
      <c r="TXE46" s="196"/>
      <c r="TXF46" s="196"/>
      <c r="TXG46" s="196"/>
      <c r="TXH46" s="196"/>
      <c r="TXI46" s="196"/>
      <c r="TXJ46" s="196"/>
      <c r="TXK46" s="647"/>
      <c r="TXL46" s="196"/>
      <c r="TXM46" s="646"/>
      <c r="TXN46" s="1400"/>
      <c r="TXO46" s="1401"/>
      <c r="TXP46" s="196"/>
      <c r="TXQ46" s="196"/>
      <c r="TXR46" s="196"/>
      <c r="TXS46" s="196"/>
      <c r="TXT46" s="196"/>
      <c r="TXU46" s="196"/>
      <c r="TXV46" s="647"/>
      <c r="TXW46" s="196"/>
      <c r="TXX46" s="646"/>
      <c r="TXY46" s="1400"/>
      <c r="TXZ46" s="1401"/>
      <c r="TYA46" s="196"/>
      <c r="TYB46" s="196"/>
      <c r="TYC46" s="196"/>
      <c r="TYD46" s="196"/>
      <c r="TYE46" s="196"/>
      <c r="TYF46" s="196"/>
      <c r="TYG46" s="647"/>
      <c r="TYH46" s="196"/>
      <c r="TYI46" s="646"/>
      <c r="TYJ46" s="1400"/>
      <c r="TYK46" s="1401"/>
      <c r="TYL46" s="196"/>
      <c r="TYM46" s="196"/>
      <c r="TYN46" s="196"/>
      <c r="TYO46" s="196"/>
      <c r="TYP46" s="196"/>
      <c r="TYQ46" s="196"/>
      <c r="TYR46" s="647"/>
      <c r="TYS46" s="196"/>
      <c r="TYT46" s="646"/>
      <c r="TYU46" s="1400"/>
      <c r="TYV46" s="1401"/>
      <c r="TYW46" s="196"/>
      <c r="TYX46" s="196"/>
      <c r="TYY46" s="196"/>
      <c r="TYZ46" s="196"/>
      <c r="TZA46" s="196"/>
      <c r="TZB46" s="196"/>
      <c r="TZC46" s="647"/>
      <c r="TZD46" s="196"/>
      <c r="TZE46" s="646"/>
      <c r="TZF46" s="1400"/>
      <c r="TZG46" s="1401"/>
      <c r="TZH46" s="196"/>
      <c r="TZI46" s="196"/>
      <c r="TZJ46" s="196"/>
      <c r="TZK46" s="196"/>
      <c r="TZL46" s="196"/>
      <c r="TZM46" s="196"/>
      <c r="TZN46" s="647"/>
      <c r="TZO46" s="196"/>
      <c r="TZP46" s="646"/>
      <c r="TZQ46" s="1400"/>
      <c r="TZR46" s="1401"/>
      <c r="TZS46" s="196"/>
      <c r="TZT46" s="196"/>
      <c r="TZU46" s="196"/>
      <c r="TZV46" s="196"/>
      <c r="TZW46" s="196"/>
      <c r="TZX46" s="196"/>
      <c r="TZY46" s="647"/>
      <c r="TZZ46" s="196"/>
      <c r="UAA46" s="646"/>
      <c r="UAB46" s="1400"/>
      <c r="UAC46" s="1401"/>
      <c r="UAD46" s="196"/>
      <c r="UAE46" s="196"/>
      <c r="UAF46" s="196"/>
      <c r="UAG46" s="196"/>
      <c r="UAH46" s="196"/>
      <c r="UAI46" s="196"/>
      <c r="UAJ46" s="647"/>
      <c r="UAK46" s="196"/>
      <c r="UAL46" s="646"/>
      <c r="UAM46" s="1400"/>
      <c r="UAN46" s="1401"/>
      <c r="UAO46" s="196"/>
      <c r="UAP46" s="196"/>
      <c r="UAQ46" s="196"/>
      <c r="UAR46" s="196"/>
      <c r="UAS46" s="196"/>
      <c r="UAT46" s="196"/>
      <c r="UAU46" s="647"/>
      <c r="UAV46" s="196"/>
      <c r="UAW46" s="646"/>
      <c r="UAX46" s="1400"/>
      <c r="UAY46" s="1401"/>
      <c r="UAZ46" s="196"/>
      <c r="UBA46" s="196"/>
      <c r="UBB46" s="196"/>
      <c r="UBC46" s="196"/>
      <c r="UBD46" s="196"/>
      <c r="UBE46" s="196"/>
      <c r="UBF46" s="647"/>
      <c r="UBG46" s="196"/>
      <c r="UBH46" s="646"/>
      <c r="UBI46" s="1400"/>
      <c r="UBJ46" s="1401"/>
      <c r="UBK46" s="196"/>
      <c r="UBL46" s="196"/>
      <c r="UBM46" s="196"/>
      <c r="UBN46" s="196"/>
      <c r="UBO46" s="196"/>
      <c r="UBP46" s="196"/>
      <c r="UBQ46" s="647"/>
      <c r="UBR46" s="196"/>
      <c r="UBS46" s="646"/>
      <c r="UBT46" s="1400"/>
      <c r="UBU46" s="1401"/>
      <c r="UBV46" s="196"/>
      <c r="UBW46" s="196"/>
      <c r="UBX46" s="196"/>
      <c r="UBY46" s="196"/>
      <c r="UBZ46" s="196"/>
      <c r="UCA46" s="196"/>
      <c r="UCB46" s="647"/>
      <c r="UCC46" s="196"/>
      <c r="UCD46" s="646"/>
      <c r="UCE46" s="1400"/>
      <c r="UCF46" s="1401"/>
      <c r="UCG46" s="196"/>
      <c r="UCH46" s="196"/>
      <c r="UCI46" s="196"/>
      <c r="UCJ46" s="196"/>
      <c r="UCK46" s="196"/>
      <c r="UCL46" s="196"/>
      <c r="UCM46" s="647"/>
      <c r="UCN46" s="196"/>
      <c r="UCO46" s="646"/>
      <c r="UCP46" s="1400"/>
      <c r="UCQ46" s="1401"/>
      <c r="UCR46" s="196"/>
      <c r="UCS46" s="196"/>
      <c r="UCT46" s="196"/>
      <c r="UCU46" s="196"/>
      <c r="UCV46" s="196"/>
      <c r="UCW46" s="196"/>
      <c r="UCX46" s="647"/>
      <c r="UCY46" s="196"/>
      <c r="UCZ46" s="646"/>
      <c r="UDA46" s="1400"/>
      <c r="UDB46" s="1401"/>
      <c r="UDC46" s="196"/>
      <c r="UDD46" s="196"/>
      <c r="UDE46" s="196"/>
      <c r="UDF46" s="196"/>
      <c r="UDG46" s="196"/>
      <c r="UDH46" s="196"/>
      <c r="UDI46" s="647"/>
      <c r="UDJ46" s="196"/>
      <c r="UDK46" s="646"/>
      <c r="UDL46" s="1400"/>
      <c r="UDM46" s="1401"/>
      <c r="UDN46" s="196"/>
      <c r="UDO46" s="196"/>
      <c r="UDP46" s="196"/>
      <c r="UDQ46" s="196"/>
      <c r="UDR46" s="196"/>
      <c r="UDS46" s="196"/>
      <c r="UDT46" s="647"/>
      <c r="UDU46" s="196"/>
      <c r="UDV46" s="646"/>
      <c r="UDW46" s="1400"/>
      <c r="UDX46" s="1401"/>
      <c r="UDY46" s="196"/>
      <c r="UDZ46" s="196"/>
      <c r="UEA46" s="196"/>
      <c r="UEB46" s="196"/>
      <c r="UEC46" s="196"/>
      <c r="UED46" s="196"/>
      <c r="UEE46" s="647"/>
      <c r="UEF46" s="196"/>
      <c r="UEG46" s="646"/>
      <c r="UEH46" s="1400"/>
      <c r="UEI46" s="1401"/>
      <c r="UEJ46" s="196"/>
      <c r="UEK46" s="196"/>
      <c r="UEL46" s="196"/>
      <c r="UEM46" s="196"/>
      <c r="UEN46" s="196"/>
      <c r="UEO46" s="196"/>
      <c r="UEP46" s="647"/>
      <c r="UEQ46" s="196"/>
      <c r="UER46" s="646"/>
      <c r="UES46" s="1400"/>
      <c r="UET46" s="1401"/>
      <c r="UEU46" s="196"/>
      <c r="UEV46" s="196"/>
      <c r="UEW46" s="196"/>
      <c r="UEX46" s="196"/>
      <c r="UEY46" s="196"/>
      <c r="UEZ46" s="196"/>
      <c r="UFA46" s="647"/>
      <c r="UFB46" s="196"/>
      <c r="UFC46" s="646"/>
      <c r="UFD46" s="1400"/>
      <c r="UFE46" s="1401"/>
      <c r="UFF46" s="196"/>
      <c r="UFG46" s="196"/>
      <c r="UFH46" s="196"/>
      <c r="UFI46" s="196"/>
      <c r="UFJ46" s="196"/>
      <c r="UFK46" s="196"/>
      <c r="UFL46" s="647"/>
      <c r="UFM46" s="196"/>
      <c r="UFN46" s="646"/>
      <c r="UFO46" s="1400"/>
      <c r="UFP46" s="1401"/>
      <c r="UFQ46" s="196"/>
      <c r="UFR46" s="196"/>
      <c r="UFS46" s="196"/>
      <c r="UFT46" s="196"/>
      <c r="UFU46" s="196"/>
      <c r="UFV46" s="196"/>
      <c r="UFW46" s="647"/>
      <c r="UFX46" s="196"/>
      <c r="UFY46" s="646"/>
      <c r="UFZ46" s="1400"/>
      <c r="UGA46" s="1401"/>
      <c r="UGB46" s="196"/>
      <c r="UGC46" s="196"/>
      <c r="UGD46" s="196"/>
      <c r="UGE46" s="196"/>
      <c r="UGF46" s="196"/>
      <c r="UGG46" s="196"/>
      <c r="UGH46" s="647"/>
      <c r="UGI46" s="196"/>
      <c r="UGJ46" s="646"/>
      <c r="UGK46" s="1400"/>
      <c r="UGL46" s="1401"/>
      <c r="UGM46" s="196"/>
      <c r="UGN46" s="196"/>
      <c r="UGO46" s="196"/>
      <c r="UGP46" s="196"/>
      <c r="UGQ46" s="196"/>
      <c r="UGR46" s="196"/>
      <c r="UGS46" s="647"/>
      <c r="UGT46" s="196"/>
      <c r="UGU46" s="646"/>
      <c r="UGV46" s="1400"/>
      <c r="UGW46" s="1401"/>
      <c r="UGX46" s="196"/>
      <c r="UGY46" s="196"/>
      <c r="UGZ46" s="196"/>
      <c r="UHA46" s="196"/>
      <c r="UHB46" s="196"/>
      <c r="UHC46" s="196"/>
      <c r="UHD46" s="647"/>
      <c r="UHE46" s="196"/>
      <c r="UHF46" s="646"/>
      <c r="UHG46" s="1400"/>
      <c r="UHH46" s="1401"/>
      <c r="UHI46" s="196"/>
      <c r="UHJ46" s="196"/>
      <c r="UHK46" s="196"/>
      <c r="UHL46" s="196"/>
      <c r="UHM46" s="196"/>
      <c r="UHN46" s="196"/>
      <c r="UHO46" s="647"/>
      <c r="UHP46" s="196"/>
      <c r="UHQ46" s="646"/>
      <c r="UHR46" s="1400"/>
      <c r="UHS46" s="1401"/>
      <c r="UHT46" s="196"/>
      <c r="UHU46" s="196"/>
      <c r="UHV46" s="196"/>
      <c r="UHW46" s="196"/>
      <c r="UHX46" s="196"/>
      <c r="UHY46" s="196"/>
      <c r="UHZ46" s="647"/>
      <c r="UIA46" s="196"/>
      <c r="UIB46" s="646"/>
      <c r="UIC46" s="1400"/>
      <c r="UID46" s="1401"/>
      <c r="UIE46" s="196"/>
      <c r="UIF46" s="196"/>
      <c r="UIG46" s="196"/>
      <c r="UIH46" s="196"/>
      <c r="UII46" s="196"/>
      <c r="UIJ46" s="196"/>
      <c r="UIK46" s="647"/>
      <c r="UIL46" s="196"/>
      <c r="UIM46" s="646"/>
      <c r="UIN46" s="1400"/>
      <c r="UIO46" s="1401"/>
      <c r="UIP46" s="196"/>
      <c r="UIQ46" s="196"/>
      <c r="UIR46" s="196"/>
      <c r="UIS46" s="196"/>
      <c r="UIT46" s="196"/>
      <c r="UIU46" s="196"/>
      <c r="UIV46" s="647"/>
      <c r="UIW46" s="196"/>
      <c r="UIX46" s="646"/>
      <c r="UIY46" s="1400"/>
      <c r="UIZ46" s="1401"/>
      <c r="UJA46" s="196"/>
      <c r="UJB46" s="196"/>
      <c r="UJC46" s="196"/>
      <c r="UJD46" s="196"/>
      <c r="UJE46" s="196"/>
      <c r="UJF46" s="196"/>
      <c r="UJG46" s="647"/>
      <c r="UJH46" s="196"/>
      <c r="UJI46" s="646"/>
      <c r="UJJ46" s="1400"/>
      <c r="UJK46" s="1401"/>
      <c r="UJL46" s="196"/>
      <c r="UJM46" s="196"/>
      <c r="UJN46" s="196"/>
      <c r="UJO46" s="196"/>
      <c r="UJP46" s="196"/>
      <c r="UJQ46" s="196"/>
      <c r="UJR46" s="647"/>
      <c r="UJS46" s="196"/>
      <c r="UJT46" s="646"/>
      <c r="UJU46" s="1400"/>
      <c r="UJV46" s="1401"/>
      <c r="UJW46" s="196"/>
      <c r="UJX46" s="196"/>
      <c r="UJY46" s="196"/>
      <c r="UJZ46" s="196"/>
      <c r="UKA46" s="196"/>
      <c r="UKB46" s="196"/>
      <c r="UKC46" s="647"/>
      <c r="UKD46" s="196"/>
      <c r="UKE46" s="646"/>
      <c r="UKF46" s="1400"/>
      <c r="UKG46" s="1401"/>
      <c r="UKH46" s="196"/>
      <c r="UKI46" s="196"/>
      <c r="UKJ46" s="196"/>
      <c r="UKK46" s="196"/>
      <c r="UKL46" s="196"/>
      <c r="UKM46" s="196"/>
      <c r="UKN46" s="647"/>
      <c r="UKO46" s="196"/>
      <c r="UKP46" s="646"/>
      <c r="UKQ46" s="1400"/>
      <c r="UKR46" s="1401"/>
      <c r="UKS46" s="196"/>
      <c r="UKT46" s="196"/>
      <c r="UKU46" s="196"/>
      <c r="UKV46" s="196"/>
      <c r="UKW46" s="196"/>
      <c r="UKX46" s="196"/>
      <c r="UKY46" s="647"/>
      <c r="UKZ46" s="196"/>
      <c r="ULA46" s="646"/>
      <c r="ULB46" s="1400"/>
      <c r="ULC46" s="1401"/>
      <c r="ULD46" s="196"/>
      <c r="ULE46" s="196"/>
      <c r="ULF46" s="196"/>
      <c r="ULG46" s="196"/>
      <c r="ULH46" s="196"/>
      <c r="ULI46" s="196"/>
      <c r="ULJ46" s="647"/>
      <c r="ULK46" s="196"/>
      <c r="ULL46" s="646"/>
      <c r="ULM46" s="1400"/>
      <c r="ULN46" s="1401"/>
      <c r="ULO46" s="196"/>
      <c r="ULP46" s="196"/>
      <c r="ULQ46" s="196"/>
      <c r="ULR46" s="196"/>
      <c r="ULS46" s="196"/>
      <c r="ULT46" s="196"/>
      <c r="ULU46" s="647"/>
      <c r="ULV46" s="196"/>
      <c r="ULW46" s="646"/>
      <c r="ULX46" s="1400"/>
      <c r="ULY46" s="1401"/>
      <c r="ULZ46" s="196"/>
      <c r="UMA46" s="196"/>
      <c r="UMB46" s="196"/>
      <c r="UMC46" s="196"/>
      <c r="UMD46" s="196"/>
      <c r="UME46" s="196"/>
      <c r="UMF46" s="647"/>
      <c r="UMG46" s="196"/>
      <c r="UMH46" s="646"/>
      <c r="UMI46" s="1400"/>
      <c r="UMJ46" s="1401"/>
      <c r="UMK46" s="196"/>
      <c r="UML46" s="196"/>
      <c r="UMM46" s="196"/>
      <c r="UMN46" s="196"/>
      <c r="UMO46" s="196"/>
      <c r="UMP46" s="196"/>
      <c r="UMQ46" s="647"/>
      <c r="UMR46" s="196"/>
      <c r="UMS46" s="646"/>
      <c r="UMT46" s="1400"/>
      <c r="UMU46" s="1401"/>
      <c r="UMV46" s="196"/>
      <c r="UMW46" s="196"/>
      <c r="UMX46" s="196"/>
      <c r="UMY46" s="196"/>
      <c r="UMZ46" s="196"/>
      <c r="UNA46" s="196"/>
      <c r="UNB46" s="647"/>
      <c r="UNC46" s="196"/>
      <c r="UND46" s="646"/>
      <c r="UNE46" s="1400"/>
      <c r="UNF46" s="1401"/>
      <c r="UNG46" s="196"/>
      <c r="UNH46" s="196"/>
      <c r="UNI46" s="196"/>
      <c r="UNJ46" s="196"/>
      <c r="UNK46" s="196"/>
      <c r="UNL46" s="196"/>
      <c r="UNM46" s="647"/>
      <c r="UNN46" s="196"/>
      <c r="UNO46" s="646"/>
      <c r="UNP46" s="1400"/>
      <c r="UNQ46" s="1401"/>
      <c r="UNR46" s="196"/>
      <c r="UNS46" s="196"/>
      <c r="UNT46" s="196"/>
      <c r="UNU46" s="196"/>
      <c r="UNV46" s="196"/>
      <c r="UNW46" s="196"/>
      <c r="UNX46" s="647"/>
      <c r="UNY46" s="196"/>
      <c r="UNZ46" s="646"/>
      <c r="UOA46" s="1400"/>
      <c r="UOB46" s="1401"/>
      <c r="UOC46" s="196"/>
      <c r="UOD46" s="196"/>
      <c r="UOE46" s="196"/>
      <c r="UOF46" s="196"/>
      <c r="UOG46" s="196"/>
      <c r="UOH46" s="196"/>
      <c r="UOI46" s="647"/>
      <c r="UOJ46" s="196"/>
      <c r="UOK46" s="646"/>
      <c r="UOL46" s="1400"/>
      <c r="UOM46" s="1401"/>
      <c r="UON46" s="196"/>
      <c r="UOO46" s="196"/>
      <c r="UOP46" s="196"/>
      <c r="UOQ46" s="196"/>
      <c r="UOR46" s="196"/>
      <c r="UOS46" s="196"/>
      <c r="UOT46" s="647"/>
      <c r="UOU46" s="196"/>
      <c r="UOV46" s="646"/>
      <c r="UOW46" s="1400"/>
      <c r="UOX46" s="1401"/>
      <c r="UOY46" s="196"/>
      <c r="UOZ46" s="196"/>
      <c r="UPA46" s="196"/>
      <c r="UPB46" s="196"/>
      <c r="UPC46" s="196"/>
      <c r="UPD46" s="196"/>
      <c r="UPE46" s="647"/>
      <c r="UPF46" s="196"/>
      <c r="UPG46" s="646"/>
      <c r="UPH46" s="1400"/>
      <c r="UPI46" s="1401"/>
      <c r="UPJ46" s="196"/>
      <c r="UPK46" s="196"/>
      <c r="UPL46" s="196"/>
      <c r="UPM46" s="196"/>
      <c r="UPN46" s="196"/>
      <c r="UPO46" s="196"/>
      <c r="UPP46" s="647"/>
      <c r="UPQ46" s="196"/>
      <c r="UPR46" s="646"/>
      <c r="UPS46" s="1400"/>
      <c r="UPT46" s="1401"/>
      <c r="UPU46" s="196"/>
      <c r="UPV46" s="196"/>
      <c r="UPW46" s="196"/>
      <c r="UPX46" s="196"/>
      <c r="UPY46" s="196"/>
      <c r="UPZ46" s="196"/>
      <c r="UQA46" s="647"/>
      <c r="UQB46" s="196"/>
      <c r="UQC46" s="646"/>
      <c r="UQD46" s="1400"/>
      <c r="UQE46" s="1401"/>
      <c r="UQF46" s="196"/>
      <c r="UQG46" s="196"/>
      <c r="UQH46" s="196"/>
      <c r="UQI46" s="196"/>
      <c r="UQJ46" s="196"/>
      <c r="UQK46" s="196"/>
      <c r="UQL46" s="647"/>
      <c r="UQM46" s="196"/>
      <c r="UQN46" s="646"/>
      <c r="UQO46" s="1400"/>
      <c r="UQP46" s="1401"/>
      <c r="UQQ46" s="196"/>
      <c r="UQR46" s="196"/>
      <c r="UQS46" s="196"/>
      <c r="UQT46" s="196"/>
      <c r="UQU46" s="196"/>
      <c r="UQV46" s="196"/>
      <c r="UQW46" s="647"/>
      <c r="UQX46" s="196"/>
      <c r="UQY46" s="646"/>
      <c r="UQZ46" s="1400"/>
      <c r="URA46" s="1401"/>
      <c r="URB46" s="196"/>
      <c r="URC46" s="196"/>
      <c r="URD46" s="196"/>
      <c r="URE46" s="196"/>
      <c r="URF46" s="196"/>
      <c r="URG46" s="196"/>
      <c r="URH46" s="647"/>
      <c r="URI46" s="196"/>
      <c r="URJ46" s="646"/>
      <c r="URK46" s="1400"/>
      <c r="URL46" s="1401"/>
      <c r="URM46" s="196"/>
      <c r="URN46" s="196"/>
      <c r="URO46" s="196"/>
      <c r="URP46" s="196"/>
      <c r="URQ46" s="196"/>
      <c r="URR46" s="196"/>
      <c r="URS46" s="647"/>
      <c r="URT46" s="196"/>
      <c r="URU46" s="646"/>
      <c r="URV46" s="1400"/>
      <c r="URW46" s="1401"/>
      <c r="URX46" s="196"/>
      <c r="URY46" s="196"/>
      <c r="URZ46" s="196"/>
      <c r="USA46" s="196"/>
      <c r="USB46" s="196"/>
      <c r="USC46" s="196"/>
      <c r="USD46" s="647"/>
      <c r="USE46" s="196"/>
      <c r="USF46" s="646"/>
      <c r="USG46" s="1400"/>
      <c r="USH46" s="1401"/>
      <c r="USI46" s="196"/>
      <c r="USJ46" s="196"/>
      <c r="USK46" s="196"/>
      <c r="USL46" s="196"/>
      <c r="USM46" s="196"/>
      <c r="USN46" s="196"/>
      <c r="USO46" s="647"/>
      <c r="USP46" s="196"/>
      <c r="USQ46" s="646"/>
      <c r="USR46" s="1400"/>
      <c r="USS46" s="1401"/>
      <c r="UST46" s="196"/>
      <c r="USU46" s="196"/>
      <c r="USV46" s="196"/>
      <c r="USW46" s="196"/>
      <c r="USX46" s="196"/>
      <c r="USY46" s="196"/>
      <c r="USZ46" s="647"/>
      <c r="UTA46" s="196"/>
      <c r="UTB46" s="646"/>
      <c r="UTC46" s="1400"/>
      <c r="UTD46" s="1401"/>
      <c r="UTE46" s="196"/>
      <c r="UTF46" s="196"/>
      <c r="UTG46" s="196"/>
      <c r="UTH46" s="196"/>
      <c r="UTI46" s="196"/>
      <c r="UTJ46" s="196"/>
      <c r="UTK46" s="647"/>
      <c r="UTL46" s="196"/>
      <c r="UTM46" s="646"/>
      <c r="UTN46" s="1400"/>
      <c r="UTO46" s="1401"/>
      <c r="UTP46" s="196"/>
      <c r="UTQ46" s="196"/>
      <c r="UTR46" s="196"/>
      <c r="UTS46" s="196"/>
      <c r="UTT46" s="196"/>
      <c r="UTU46" s="196"/>
      <c r="UTV46" s="647"/>
      <c r="UTW46" s="196"/>
      <c r="UTX46" s="646"/>
      <c r="UTY46" s="1400"/>
      <c r="UTZ46" s="1401"/>
      <c r="UUA46" s="196"/>
      <c r="UUB46" s="196"/>
      <c r="UUC46" s="196"/>
      <c r="UUD46" s="196"/>
      <c r="UUE46" s="196"/>
      <c r="UUF46" s="196"/>
      <c r="UUG46" s="647"/>
      <c r="UUH46" s="196"/>
      <c r="UUI46" s="646"/>
      <c r="UUJ46" s="1400"/>
      <c r="UUK46" s="1401"/>
      <c r="UUL46" s="196"/>
      <c r="UUM46" s="196"/>
      <c r="UUN46" s="196"/>
      <c r="UUO46" s="196"/>
      <c r="UUP46" s="196"/>
      <c r="UUQ46" s="196"/>
      <c r="UUR46" s="647"/>
      <c r="UUS46" s="196"/>
      <c r="UUT46" s="646"/>
      <c r="UUU46" s="1400"/>
      <c r="UUV46" s="1401"/>
      <c r="UUW46" s="196"/>
      <c r="UUX46" s="196"/>
      <c r="UUY46" s="196"/>
      <c r="UUZ46" s="196"/>
      <c r="UVA46" s="196"/>
      <c r="UVB46" s="196"/>
      <c r="UVC46" s="647"/>
      <c r="UVD46" s="196"/>
      <c r="UVE46" s="646"/>
      <c r="UVF46" s="1400"/>
      <c r="UVG46" s="1401"/>
      <c r="UVH46" s="196"/>
      <c r="UVI46" s="196"/>
      <c r="UVJ46" s="196"/>
      <c r="UVK46" s="196"/>
      <c r="UVL46" s="196"/>
      <c r="UVM46" s="196"/>
      <c r="UVN46" s="647"/>
      <c r="UVO46" s="196"/>
      <c r="UVP46" s="646"/>
      <c r="UVQ46" s="1400"/>
      <c r="UVR46" s="1401"/>
      <c r="UVS46" s="196"/>
      <c r="UVT46" s="196"/>
      <c r="UVU46" s="196"/>
      <c r="UVV46" s="196"/>
      <c r="UVW46" s="196"/>
      <c r="UVX46" s="196"/>
      <c r="UVY46" s="647"/>
      <c r="UVZ46" s="196"/>
      <c r="UWA46" s="646"/>
      <c r="UWB46" s="1400"/>
      <c r="UWC46" s="1401"/>
      <c r="UWD46" s="196"/>
      <c r="UWE46" s="196"/>
      <c r="UWF46" s="196"/>
      <c r="UWG46" s="196"/>
      <c r="UWH46" s="196"/>
      <c r="UWI46" s="196"/>
      <c r="UWJ46" s="647"/>
      <c r="UWK46" s="196"/>
      <c r="UWL46" s="646"/>
      <c r="UWM46" s="1400"/>
      <c r="UWN46" s="1401"/>
      <c r="UWO46" s="196"/>
      <c r="UWP46" s="196"/>
      <c r="UWQ46" s="196"/>
      <c r="UWR46" s="196"/>
      <c r="UWS46" s="196"/>
      <c r="UWT46" s="196"/>
      <c r="UWU46" s="647"/>
      <c r="UWV46" s="196"/>
      <c r="UWW46" s="646"/>
      <c r="UWX46" s="1400"/>
      <c r="UWY46" s="1401"/>
      <c r="UWZ46" s="196"/>
      <c r="UXA46" s="196"/>
      <c r="UXB46" s="196"/>
      <c r="UXC46" s="196"/>
      <c r="UXD46" s="196"/>
      <c r="UXE46" s="196"/>
      <c r="UXF46" s="647"/>
      <c r="UXG46" s="196"/>
      <c r="UXH46" s="646"/>
      <c r="UXI46" s="1400"/>
      <c r="UXJ46" s="1401"/>
      <c r="UXK46" s="196"/>
      <c r="UXL46" s="196"/>
      <c r="UXM46" s="196"/>
      <c r="UXN46" s="196"/>
      <c r="UXO46" s="196"/>
      <c r="UXP46" s="196"/>
      <c r="UXQ46" s="647"/>
      <c r="UXR46" s="196"/>
      <c r="UXS46" s="646"/>
      <c r="UXT46" s="1400"/>
      <c r="UXU46" s="1401"/>
      <c r="UXV46" s="196"/>
      <c r="UXW46" s="196"/>
      <c r="UXX46" s="196"/>
      <c r="UXY46" s="196"/>
      <c r="UXZ46" s="196"/>
      <c r="UYA46" s="196"/>
      <c r="UYB46" s="647"/>
      <c r="UYC46" s="196"/>
      <c r="UYD46" s="646"/>
      <c r="UYE46" s="1400"/>
      <c r="UYF46" s="1401"/>
      <c r="UYG46" s="196"/>
      <c r="UYH46" s="196"/>
      <c r="UYI46" s="196"/>
      <c r="UYJ46" s="196"/>
      <c r="UYK46" s="196"/>
      <c r="UYL46" s="196"/>
      <c r="UYM46" s="647"/>
      <c r="UYN46" s="196"/>
      <c r="UYO46" s="646"/>
      <c r="UYP46" s="1400"/>
      <c r="UYQ46" s="1401"/>
      <c r="UYR46" s="196"/>
      <c r="UYS46" s="196"/>
      <c r="UYT46" s="196"/>
      <c r="UYU46" s="196"/>
      <c r="UYV46" s="196"/>
      <c r="UYW46" s="196"/>
      <c r="UYX46" s="647"/>
      <c r="UYY46" s="196"/>
      <c r="UYZ46" s="646"/>
      <c r="UZA46" s="1400"/>
      <c r="UZB46" s="1401"/>
      <c r="UZC46" s="196"/>
      <c r="UZD46" s="196"/>
      <c r="UZE46" s="196"/>
      <c r="UZF46" s="196"/>
      <c r="UZG46" s="196"/>
      <c r="UZH46" s="196"/>
      <c r="UZI46" s="647"/>
      <c r="UZJ46" s="196"/>
      <c r="UZK46" s="646"/>
      <c r="UZL46" s="1400"/>
      <c r="UZM46" s="1401"/>
      <c r="UZN46" s="196"/>
      <c r="UZO46" s="196"/>
      <c r="UZP46" s="196"/>
      <c r="UZQ46" s="196"/>
      <c r="UZR46" s="196"/>
      <c r="UZS46" s="196"/>
      <c r="UZT46" s="647"/>
      <c r="UZU46" s="196"/>
      <c r="UZV46" s="646"/>
      <c r="UZW46" s="1400"/>
      <c r="UZX46" s="1401"/>
      <c r="UZY46" s="196"/>
      <c r="UZZ46" s="196"/>
      <c r="VAA46" s="196"/>
      <c r="VAB46" s="196"/>
      <c r="VAC46" s="196"/>
      <c r="VAD46" s="196"/>
      <c r="VAE46" s="647"/>
      <c r="VAF46" s="196"/>
      <c r="VAG46" s="646"/>
      <c r="VAH46" s="1400"/>
      <c r="VAI46" s="1401"/>
      <c r="VAJ46" s="196"/>
      <c r="VAK46" s="196"/>
      <c r="VAL46" s="196"/>
      <c r="VAM46" s="196"/>
      <c r="VAN46" s="196"/>
      <c r="VAO46" s="196"/>
      <c r="VAP46" s="647"/>
      <c r="VAQ46" s="196"/>
      <c r="VAR46" s="646"/>
      <c r="VAS46" s="1400"/>
      <c r="VAT46" s="1401"/>
      <c r="VAU46" s="196"/>
      <c r="VAV46" s="196"/>
      <c r="VAW46" s="196"/>
      <c r="VAX46" s="196"/>
      <c r="VAY46" s="196"/>
      <c r="VAZ46" s="196"/>
      <c r="VBA46" s="647"/>
      <c r="VBB46" s="196"/>
      <c r="VBC46" s="646"/>
      <c r="VBD46" s="1400"/>
      <c r="VBE46" s="1401"/>
      <c r="VBF46" s="196"/>
      <c r="VBG46" s="196"/>
      <c r="VBH46" s="196"/>
      <c r="VBI46" s="196"/>
      <c r="VBJ46" s="196"/>
      <c r="VBK46" s="196"/>
      <c r="VBL46" s="647"/>
      <c r="VBM46" s="196"/>
      <c r="VBN46" s="646"/>
      <c r="VBO46" s="1400"/>
      <c r="VBP46" s="1401"/>
      <c r="VBQ46" s="196"/>
      <c r="VBR46" s="196"/>
      <c r="VBS46" s="196"/>
      <c r="VBT46" s="196"/>
      <c r="VBU46" s="196"/>
      <c r="VBV46" s="196"/>
      <c r="VBW46" s="647"/>
      <c r="VBX46" s="196"/>
      <c r="VBY46" s="646"/>
      <c r="VBZ46" s="1400"/>
      <c r="VCA46" s="1401"/>
      <c r="VCB46" s="196"/>
      <c r="VCC46" s="196"/>
      <c r="VCD46" s="196"/>
      <c r="VCE46" s="196"/>
      <c r="VCF46" s="196"/>
      <c r="VCG46" s="196"/>
      <c r="VCH46" s="647"/>
      <c r="VCI46" s="196"/>
      <c r="VCJ46" s="646"/>
      <c r="VCK46" s="1400"/>
      <c r="VCL46" s="1401"/>
      <c r="VCM46" s="196"/>
      <c r="VCN46" s="196"/>
      <c r="VCO46" s="196"/>
      <c r="VCP46" s="196"/>
      <c r="VCQ46" s="196"/>
      <c r="VCR46" s="196"/>
      <c r="VCS46" s="647"/>
      <c r="VCT46" s="196"/>
      <c r="VCU46" s="646"/>
      <c r="VCV46" s="1400"/>
      <c r="VCW46" s="1401"/>
      <c r="VCX46" s="196"/>
      <c r="VCY46" s="196"/>
      <c r="VCZ46" s="196"/>
      <c r="VDA46" s="196"/>
      <c r="VDB46" s="196"/>
      <c r="VDC46" s="196"/>
      <c r="VDD46" s="647"/>
      <c r="VDE46" s="196"/>
      <c r="VDF46" s="646"/>
      <c r="VDG46" s="1400"/>
      <c r="VDH46" s="1401"/>
      <c r="VDI46" s="196"/>
      <c r="VDJ46" s="196"/>
      <c r="VDK46" s="196"/>
      <c r="VDL46" s="196"/>
      <c r="VDM46" s="196"/>
      <c r="VDN46" s="196"/>
      <c r="VDO46" s="647"/>
      <c r="VDP46" s="196"/>
      <c r="VDQ46" s="646"/>
      <c r="VDR46" s="1400"/>
      <c r="VDS46" s="1401"/>
      <c r="VDT46" s="196"/>
      <c r="VDU46" s="196"/>
      <c r="VDV46" s="196"/>
      <c r="VDW46" s="196"/>
      <c r="VDX46" s="196"/>
      <c r="VDY46" s="196"/>
      <c r="VDZ46" s="647"/>
      <c r="VEA46" s="196"/>
      <c r="VEB46" s="646"/>
      <c r="VEC46" s="1400"/>
      <c r="VED46" s="1401"/>
      <c r="VEE46" s="196"/>
      <c r="VEF46" s="196"/>
      <c r="VEG46" s="196"/>
      <c r="VEH46" s="196"/>
      <c r="VEI46" s="196"/>
      <c r="VEJ46" s="196"/>
      <c r="VEK46" s="647"/>
      <c r="VEL46" s="196"/>
      <c r="VEM46" s="646"/>
      <c r="VEN46" s="1400"/>
      <c r="VEO46" s="1401"/>
      <c r="VEP46" s="196"/>
      <c r="VEQ46" s="196"/>
      <c r="VER46" s="196"/>
      <c r="VES46" s="196"/>
      <c r="VET46" s="196"/>
      <c r="VEU46" s="196"/>
      <c r="VEV46" s="647"/>
      <c r="VEW46" s="196"/>
      <c r="VEX46" s="646"/>
      <c r="VEY46" s="1400"/>
      <c r="VEZ46" s="1401"/>
      <c r="VFA46" s="196"/>
      <c r="VFB46" s="196"/>
      <c r="VFC46" s="196"/>
      <c r="VFD46" s="196"/>
      <c r="VFE46" s="196"/>
      <c r="VFF46" s="196"/>
      <c r="VFG46" s="647"/>
      <c r="VFH46" s="196"/>
      <c r="VFI46" s="646"/>
      <c r="VFJ46" s="1400"/>
      <c r="VFK46" s="1401"/>
      <c r="VFL46" s="196"/>
      <c r="VFM46" s="196"/>
      <c r="VFN46" s="196"/>
      <c r="VFO46" s="196"/>
      <c r="VFP46" s="196"/>
      <c r="VFQ46" s="196"/>
      <c r="VFR46" s="647"/>
      <c r="VFS46" s="196"/>
      <c r="VFT46" s="646"/>
      <c r="VFU46" s="1400"/>
      <c r="VFV46" s="1401"/>
      <c r="VFW46" s="196"/>
      <c r="VFX46" s="196"/>
      <c r="VFY46" s="196"/>
      <c r="VFZ46" s="196"/>
      <c r="VGA46" s="196"/>
      <c r="VGB46" s="196"/>
      <c r="VGC46" s="647"/>
      <c r="VGD46" s="196"/>
      <c r="VGE46" s="646"/>
      <c r="VGF46" s="1400"/>
      <c r="VGG46" s="1401"/>
      <c r="VGH46" s="196"/>
      <c r="VGI46" s="196"/>
      <c r="VGJ46" s="196"/>
      <c r="VGK46" s="196"/>
      <c r="VGL46" s="196"/>
      <c r="VGM46" s="196"/>
      <c r="VGN46" s="647"/>
      <c r="VGO46" s="196"/>
      <c r="VGP46" s="646"/>
      <c r="VGQ46" s="1400"/>
      <c r="VGR46" s="1401"/>
      <c r="VGS46" s="196"/>
      <c r="VGT46" s="196"/>
      <c r="VGU46" s="196"/>
      <c r="VGV46" s="196"/>
      <c r="VGW46" s="196"/>
      <c r="VGX46" s="196"/>
      <c r="VGY46" s="647"/>
      <c r="VGZ46" s="196"/>
      <c r="VHA46" s="646"/>
      <c r="VHB46" s="1400"/>
      <c r="VHC46" s="1401"/>
      <c r="VHD46" s="196"/>
      <c r="VHE46" s="196"/>
      <c r="VHF46" s="196"/>
      <c r="VHG46" s="196"/>
      <c r="VHH46" s="196"/>
      <c r="VHI46" s="196"/>
      <c r="VHJ46" s="647"/>
      <c r="VHK46" s="196"/>
      <c r="VHL46" s="646"/>
      <c r="VHM46" s="1400"/>
      <c r="VHN46" s="1401"/>
      <c r="VHO46" s="196"/>
      <c r="VHP46" s="196"/>
      <c r="VHQ46" s="196"/>
      <c r="VHR46" s="196"/>
      <c r="VHS46" s="196"/>
      <c r="VHT46" s="196"/>
      <c r="VHU46" s="647"/>
      <c r="VHV46" s="196"/>
      <c r="VHW46" s="646"/>
      <c r="VHX46" s="1400"/>
      <c r="VHY46" s="1401"/>
      <c r="VHZ46" s="196"/>
      <c r="VIA46" s="196"/>
      <c r="VIB46" s="196"/>
      <c r="VIC46" s="196"/>
      <c r="VID46" s="196"/>
      <c r="VIE46" s="196"/>
      <c r="VIF46" s="647"/>
      <c r="VIG46" s="196"/>
      <c r="VIH46" s="646"/>
      <c r="VII46" s="1400"/>
      <c r="VIJ46" s="1401"/>
      <c r="VIK46" s="196"/>
      <c r="VIL46" s="196"/>
      <c r="VIM46" s="196"/>
      <c r="VIN46" s="196"/>
      <c r="VIO46" s="196"/>
      <c r="VIP46" s="196"/>
      <c r="VIQ46" s="647"/>
      <c r="VIR46" s="196"/>
      <c r="VIS46" s="646"/>
      <c r="VIT46" s="1400"/>
      <c r="VIU46" s="1401"/>
      <c r="VIV46" s="196"/>
      <c r="VIW46" s="196"/>
      <c r="VIX46" s="196"/>
      <c r="VIY46" s="196"/>
      <c r="VIZ46" s="196"/>
      <c r="VJA46" s="196"/>
      <c r="VJB46" s="647"/>
      <c r="VJC46" s="196"/>
      <c r="VJD46" s="646"/>
      <c r="VJE46" s="1400"/>
      <c r="VJF46" s="1401"/>
      <c r="VJG46" s="196"/>
      <c r="VJH46" s="196"/>
      <c r="VJI46" s="196"/>
      <c r="VJJ46" s="196"/>
      <c r="VJK46" s="196"/>
      <c r="VJL46" s="196"/>
      <c r="VJM46" s="647"/>
      <c r="VJN46" s="196"/>
      <c r="VJO46" s="646"/>
      <c r="VJP46" s="1400"/>
      <c r="VJQ46" s="1401"/>
      <c r="VJR46" s="196"/>
      <c r="VJS46" s="196"/>
      <c r="VJT46" s="196"/>
      <c r="VJU46" s="196"/>
      <c r="VJV46" s="196"/>
      <c r="VJW46" s="196"/>
      <c r="VJX46" s="647"/>
      <c r="VJY46" s="196"/>
      <c r="VJZ46" s="646"/>
      <c r="VKA46" s="1400"/>
      <c r="VKB46" s="1401"/>
      <c r="VKC46" s="196"/>
      <c r="VKD46" s="196"/>
      <c r="VKE46" s="196"/>
      <c r="VKF46" s="196"/>
      <c r="VKG46" s="196"/>
      <c r="VKH46" s="196"/>
      <c r="VKI46" s="647"/>
      <c r="VKJ46" s="196"/>
      <c r="VKK46" s="646"/>
      <c r="VKL46" s="1400"/>
      <c r="VKM46" s="1401"/>
      <c r="VKN46" s="196"/>
      <c r="VKO46" s="196"/>
      <c r="VKP46" s="196"/>
      <c r="VKQ46" s="196"/>
      <c r="VKR46" s="196"/>
      <c r="VKS46" s="196"/>
      <c r="VKT46" s="647"/>
      <c r="VKU46" s="196"/>
      <c r="VKV46" s="646"/>
      <c r="VKW46" s="1400"/>
      <c r="VKX46" s="1401"/>
      <c r="VKY46" s="196"/>
      <c r="VKZ46" s="196"/>
      <c r="VLA46" s="196"/>
      <c r="VLB46" s="196"/>
      <c r="VLC46" s="196"/>
      <c r="VLD46" s="196"/>
      <c r="VLE46" s="647"/>
      <c r="VLF46" s="196"/>
      <c r="VLG46" s="646"/>
      <c r="VLH46" s="1400"/>
      <c r="VLI46" s="1401"/>
      <c r="VLJ46" s="196"/>
      <c r="VLK46" s="196"/>
      <c r="VLL46" s="196"/>
      <c r="VLM46" s="196"/>
      <c r="VLN46" s="196"/>
      <c r="VLO46" s="196"/>
      <c r="VLP46" s="647"/>
      <c r="VLQ46" s="196"/>
      <c r="VLR46" s="646"/>
      <c r="VLS46" s="1400"/>
      <c r="VLT46" s="1401"/>
      <c r="VLU46" s="196"/>
      <c r="VLV46" s="196"/>
      <c r="VLW46" s="196"/>
      <c r="VLX46" s="196"/>
      <c r="VLY46" s="196"/>
      <c r="VLZ46" s="196"/>
      <c r="VMA46" s="647"/>
      <c r="VMB46" s="196"/>
      <c r="VMC46" s="646"/>
      <c r="VMD46" s="1400"/>
      <c r="VME46" s="1401"/>
      <c r="VMF46" s="196"/>
      <c r="VMG46" s="196"/>
      <c r="VMH46" s="196"/>
      <c r="VMI46" s="196"/>
      <c r="VMJ46" s="196"/>
      <c r="VMK46" s="196"/>
      <c r="VML46" s="647"/>
      <c r="VMM46" s="196"/>
      <c r="VMN46" s="646"/>
      <c r="VMO46" s="1400"/>
      <c r="VMP46" s="1401"/>
      <c r="VMQ46" s="196"/>
      <c r="VMR46" s="196"/>
      <c r="VMS46" s="196"/>
      <c r="VMT46" s="196"/>
      <c r="VMU46" s="196"/>
      <c r="VMV46" s="196"/>
      <c r="VMW46" s="647"/>
      <c r="VMX46" s="196"/>
      <c r="VMY46" s="646"/>
      <c r="VMZ46" s="1400"/>
      <c r="VNA46" s="1401"/>
      <c r="VNB46" s="196"/>
      <c r="VNC46" s="196"/>
      <c r="VND46" s="196"/>
      <c r="VNE46" s="196"/>
      <c r="VNF46" s="196"/>
      <c r="VNG46" s="196"/>
      <c r="VNH46" s="647"/>
      <c r="VNI46" s="196"/>
      <c r="VNJ46" s="646"/>
      <c r="VNK46" s="1400"/>
      <c r="VNL46" s="1401"/>
      <c r="VNM46" s="196"/>
      <c r="VNN46" s="196"/>
      <c r="VNO46" s="196"/>
      <c r="VNP46" s="196"/>
      <c r="VNQ46" s="196"/>
      <c r="VNR46" s="196"/>
      <c r="VNS46" s="647"/>
      <c r="VNT46" s="196"/>
      <c r="VNU46" s="646"/>
      <c r="VNV46" s="1400"/>
      <c r="VNW46" s="1401"/>
      <c r="VNX46" s="196"/>
      <c r="VNY46" s="196"/>
      <c r="VNZ46" s="196"/>
      <c r="VOA46" s="196"/>
      <c r="VOB46" s="196"/>
      <c r="VOC46" s="196"/>
      <c r="VOD46" s="647"/>
      <c r="VOE46" s="196"/>
      <c r="VOF46" s="646"/>
      <c r="VOG46" s="1400"/>
      <c r="VOH46" s="1401"/>
      <c r="VOI46" s="196"/>
      <c r="VOJ46" s="196"/>
      <c r="VOK46" s="196"/>
      <c r="VOL46" s="196"/>
      <c r="VOM46" s="196"/>
      <c r="VON46" s="196"/>
      <c r="VOO46" s="647"/>
      <c r="VOP46" s="196"/>
      <c r="VOQ46" s="646"/>
      <c r="VOR46" s="1400"/>
      <c r="VOS46" s="1401"/>
      <c r="VOT46" s="196"/>
      <c r="VOU46" s="196"/>
      <c r="VOV46" s="196"/>
      <c r="VOW46" s="196"/>
      <c r="VOX46" s="196"/>
      <c r="VOY46" s="196"/>
      <c r="VOZ46" s="647"/>
      <c r="VPA46" s="196"/>
      <c r="VPB46" s="646"/>
      <c r="VPC46" s="1400"/>
      <c r="VPD46" s="1401"/>
      <c r="VPE46" s="196"/>
      <c r="VPF46" s="196"/>
      <c r="VPG46" s="196"/>
      <c r="VPH46" s="196"/>
      <c r="VPI46" s="196"/>
      <c r="VPJ46" s="196"/>
      <c r="VPK46" s="647"/>
      <c r="VPL46" s="196"/>
      <c r="VPM46" s="646"/>
      <c r="VPN46" s="1400"/>
      <c r="VPO46" s="1401"/>
      <c r="VPP46" s="196"/>
      <c r="VPQ46" s="196"/>
      <c r="VPR46" s="196"/>
      <c r="VPS46" s="196"/>
      <c r="VPT46" s="196"/>
      <c r="VPU46" s="196"/>
      <c r="VPV46" s="647"/>
      <c r="VPW46" s="196"/>
      <c r="VPX46" s="646"/>
      <c r="VPY46" s="1400"/>
      <c r="VPZ46" s="1401"/>
      <c r="VQA46" s="196"/>
      <c r="VQB46" s="196"/>
      <c r="VQC46" s="196"/>
      <c r="VQD46" s="196"/>
      <c r="VQE46" s="196"/>
      <c r="VQF46" s="196"/>
      <c r="VQG46" s="647"/>
      <c r="VQH46" s="196"/>
      <c r="VQI46" s="646"/>
      <c r="VQJ46" s="1400"/>
      <c r="VQK46" s="1401"/>
      <c r="VQL46" s="196"/>
      <c r="VQM46" s="196"/>
      <c r="VQN46" s="196"/>
      <c r="VQO46" s="196"/>
      <c r="VQP46" s="196"/>
      <c r="VQQ46" s="196"/>
      <c r="VQR46" s="647"/>
      <c r="VQS46" s="196"/>
      <c r="VQT46" s="646"/>
      <c r="VQU46" s="1400"/>
      <c r="VQV46" s="1401"/>
      <c r="VQW46" s="196"/>
      <c r="VQX46" s="196"/>
      <c r="VQY46" s="196"/>
      <c r="VQZ46" s="196"/>
      <c r="VRA46" s="196"/>
      <c r="VRB46" s="196"/>
      <c r="VRC46" s="647"/>
      <c r="VRD46" s="196"/>
      <c r="VRE46" s="646"/>
      <c r="VRF46" s="1400"/>
      <c r="VRG46" s="1401"/>
      <c r="VRH46" s="196"/>
      <c r="VRI46" s="196"/>
      <c r="VRJ46" s="196"/>
      <c r="VRK46" s="196"/>
      <c r="VRL46" s="196"/>
      <c r="VRM46" s="196"/>
      <c r="VRN46" s="647"/>
      <c r="VRO46" s="196"/>
      <c r="VRP46" s="646"/>
      <c r="VRQ46" s="1400"/>
      <c r="VRR46" s="1401"/>
      <c r="VRS46" s="196"/>
      <c r="VRT46" s="196"/>
      <c r="VRU46" s="196"/>
      <c r="VRV46" s="196"/>
      <c r="VRW46" s="196"/>
      <c r="VRX46" s="196"/>
      <c r="VRY46" s="647"/>
      <c r="VRZ46" s="196"/>
      <c r="VSA46" s="646"/>
      <c r="VSB46" s="1400"/>
      <c r="VSC46" s="1401"/>
      <c r="VSD46" s="196"/>
      <c r="VSE46" s="196"/>
      <c r="VSF46" s="196"/>
      <c r="VSG46" s="196"/>
      <c r="VSH46" s="196"/>
      <c r="VSI46" s="196"/>
      <c r="VSJ46" s="647"/>
      <c r="VSK46" s="196"/>
      <c r="VSL46" s="646"/>
      <c r="VSM46" s="1400"/>
      <c r="VSN46" s="1401"/>
      <c r="VSO46" s="196"/>
      <c r="VSP46" s="196"/>
      <c r="VSQ46" s="196"/>
      <c r="VSR46" s="196"/>
      <c r="VSS46" s="196"/>
      <c r="VST46" s="196"/>
      <c r="VSU46" s="647"/>
      <c r="VSV46" s="196"/>
      <c r="VSW46" s="646"/>
      <c r="VSX46" s="1400"/>
      <c r="VSY46" s="1401"/>
      <c r="VSZ46" s="196"/>
      <c r="VTA46" s="196"/>
      <c r="VTB46" s="196"/>
      <c r="VTC46" s="196"/>
      <c r="VTD46" s="196"/>
      <c r="VTE46" s="196"/>
      <c r="VTF46" s="647"/>
      <c r="VTG46" s="196"/>
      <c r="VTH46" s="646"/>
      <c r="VTI46" s="1400"/>
      <c r="VTJ46" s="1401"/>
      <c r="VTK46" s="196"/>
      <c r="VTL46" s="196"/>
      <c r="VTM46" s="196"/>
      <c r="VTN46" s="196"/>
      <c r="VTO46" s="196"/>
      <c r="VTP46" s="196"/>
      <c r="VTQ46" s="647"/>
      <c r="VTR46" s="196"/>
      <c r="VTS46" s="646"/>
      <c r="VTT46" s="1400"/>
      <c r="VTU46" s="1401"/>
      <c r="VTV46" s="196"/>
      <c r="VTW46" s="196"/>
      <c r="VTX46" s="196"/>
      <c r="VTY46" s="196"/>
      <c r="VTZ46" s="196"/>
      <c r="VUA46" s="196"/>
      <c r="VUB46" s="647"/>
      <c r="VUC46" s="196"/>
      <c r="VUD46" s="646"/>
      <c r="VUE46" s="1400"/>
      <c r="VUF46" s="1401"/>
      <c r="VUG46" s="196"/>
      <c r="VUH46" s="196"/>
      <c r="VUI46" s="196"/>
      <c r="VUJ46" s="196"/>
      <c r="VUK46" s="196"/>
      <c r="VUL46" s="196"/>
      <c r="VUM46" s="647"/>
      <c r="VUN46" s="196"/>
      <c r="VUO46" s="646"/>
      <c r="VUP46" s="1400"/>
      <c r="VUQ46" s="1401"/>
      <c r="VUR46" s="196"/>
      <c r="VUS46" s="196"/>
      <c r="VUT46" s="196"/>
      <c r="VUU46" s="196"/>
      <c r="VUV46" s="196"/>
      <c r="VUW46" s="196"/>
      <c r="VUX46" s="647"/>
      <c r="VUY46" s="196"/>
      <c r="VUZ46" s="646"/>
      <c r="VVA46" s="1400"/>
      <c r="VVB46" s="1401"/>
      <c r="VVC46" s="196"/>
      <c r="VVD46" s="196"/>
      <c r="VVE46" s="196"/>
      <c r="VVF46" s="196"/>
      <c r="VVG46" s="196"/>
      <c r="VVH46" s="196"/>
      <c r="VVI46" s="647"/>
      <c r="VVJ46" s="196"/>
      <c r="VVK46" s="646"/>
      <c r="VVL46" s="1400"/>
      <c r="VVM46" s="1401"/>
      <c r="VVN46" s="196"/>
      <c r="VVO46" s="196"/>
      <c r="VVP46" s="196"/>
      <c r="VVQ46" s="196"/>
      <c r="VVR46" s="196"/>
      <c r="VVS46" s="196"/>
      <c r="VVT46" s="647"/>
      <c r="VVU46" s="196"/>
      <c r="VVV46" s="646"/>
      <c r="VVW46" s="1400"/>
      <c r="VVX46" s="1401"/>
      <c r="VVY46" s="196"/>
      <c r="VVZ46" s="196"/>
      <c r="VWA46" s="196"/>
      <c r="VWB46" s="196"/>
      <c r="VWC46" s="196"/>
      <c r="VWD46" s="196"/>
      <c r="VWE46" s="647"/>
      <c r="VWF46" s="196"/>
      <c r="VWG46" s="646"/>
      <c r="VWH46" s="1400"/>
      <c r="VWI46" s="1401"/>
      <c r="VWJ46" s="196"/>
      <c r="VWK46" s="196"/>
      <c r="VWL46" s="196"/>
      <c r="VWM46" s="196"/>
      <c r="VWN46" s="196"/>
      <c r="VWO46" s="196"/>
      <c r="VWP46" s="647"/>
      <c r="VWQ46" s="196"/>
      <c r="VWR46" s="646"/>
      <c r="VWS46" s="1400"/>
      <c r="VWT46" s="1401"/>
      <c r="VWU46" s="196"/>
      <c r="VWV46" s="196"/>
      <c r="VWW46" s="196"/>
      <c r="VWX46" s="196"/>
      <c r="VWY46" s="196"/>
      <c r="VWZ46" s="196"/>
      <c r="VXA46" s="647"/>
      <c r="VXB46" s="196"/>
      <c r="VXC46" s="646"/>
      <c r="VXD46" s="1400"/>
      <c r="VXE46" s="1401"/>
      <c r="VXF46" s="196"/>
      <c r="VXG46" s="196"/>
      <c r="VXH46" s="196"/>
      <c r="VXI46" s="196"/>
      <c r="VXJ46" s="196"/>
      <c r="VXK46" s="196"/>
      <c r="VXL46" s="647"/>
      <c r="VXM46" s="196"/>
      <c r="VXN46" s="646"/>
      <c r="VXO46" s="1400"/>
      <c r="VXP46" s="1401"/>
      <c r="VXQ46" s="196"/>
      <c r="VXR46" s="196"/>
      <c r="VXS46" s="196"/>
      <c r="VXT46" s="196"/>
      <c r="VXU46" s="196"/>
      <c r="VXV46" s="196"/>
      <c r="VXW46" s="647"/>
      <c r="VXX46" s="196"/>
      <c r="VXY46" s="646"/>
      <c r="VXZ46" s="1400"/>
      <c r="VYA46" s="1401"/>
      <c r="VYB46" s="196"/>
      <c r="VYC46" s="196"/>
      <c r="VYD46" s="196"/>
      <c r="VYE46" s="196"/>
      <c r="VYF46" s="196"/>
      <c r="VYG46" s="196"/>
      <c r="VYH46" s="647"/>
      <c r="VYI46" s="196"/>
      <c r="VYJ46" s="646"/>
      <c r="VYK46" s="1400"/>
      <c r="VYL46" s="1401"/>
      <c r="VYM46" s="196"/>
      <c r="VYN46" s="196"/>
      <c r="VYO46" s="196"/>
      <c r="VYP46" s="196"/>
      <c r="VYQ46" s="196"/>
      <c r="VYR46" s="196"/>
      <c r="VYS46" s="647"/>
      <c r="VYT46" s="196"/>
      <c r="VYU46" s="646"/>
      <c r="VYV46" s="1400"/>
      <c r="VYW46" s="1401"/>
      <c r="VYX46" s="196"/>
      <c r="VYY46" s="196"/>
      <c r="VYZ46" s="196"/>
      <c r="VZA46" s="196"/>
      <c r="VZB46" s="196"/>
      <c r="VZC46" s="196"/>
      <c r="VZD46" s="647"/>
      <c r="VZE46" s="196"/>
      <c r="VZF46" s="646"/>
      <c r="VZG46" s="1400"/>
      <c r="VZH46" s="1401"/>
      <c r="VZI46" s="196"/>
      <c r="VZJ46" s="196"/>
      <c r="VZK46" s="196"/>
      <c r="VZL46" s="196"/>
      <c r="VZM46" s="196"/>
      <c r="VZN46" s="196"/>
      <c r="VZO46" s="647"/>
      <c r="VZP46" s="196"/>
      <c r="VZQ46" s="646"/>
      <c r="VZR46" s="1400"/>
      <c r="VZS46" s="1401"/>
      <c r="VZT46" s="196"/>
      <c r="VZU46" s="196"/>
      <c r="VZV46" s="196"/>
      <c r="VZW46" s="196"/>
      <c r="VZX46" s="196"/>
      <c r="VZY46" s="196"/>
      <c r="VZZ46" s="647"/>
      <c r="WAA46" s="196"/>
      <c r="WAB46" s="646"/>
      <c r="WAC46" s="1400"/>
      <c r="WAD46" s="1401"/>
      <c r="WAE46" s="196"/>
      <c r="WAF46" s="196"/>
      <c r="WAG46" s="196"/>
      <c r="WAH46" s="196"/>
      <c r="WAI46" s="196"/>
      <c r="WAJ46" s="196"/>
      <c r="WAK46" s="647"/>
      <c r="WAL46" s="196"/>
      <c r="WAM46" s="646"/>
      <c r="WAN46" s="1400"/>
      <c r="WAO46" s="1401"/>
      <c r="WAP46" s="196"/>
      <c r="WAQ46" s="196"/>
      <c r="WAR46" s="196"/>
      <c r="WAS46" s="196"/>
      <c r="WAT46" s="196"/>
      <c r="WAU46" s="196"/>
      <c r="WAV46" s="647"/>
      <c r="WAW46" s="196"/>
      <c r="WAX46" s="646"/>
      <c r="WAY46" s="1400"/>
      <c r="WAZ46" s="1401"/>
      <c r="WBA46" s="196"/>
      <c r="WBB46" s="196"/>
      <c r="WBC46" s="196"/>
      <c r="WBD46" s="196"/>
      <c r="WBE46" s="196"/>
      <c r="WBF46" s="196"/>
      <c r="WBG46" s="647"/>
      <c r="WBH46" s="196"/>
      <c r="WBI46" s="646"/>
      <c r="WBJ46" s="1400"/>
      <c r="WBK46" s="1401"/>
      <c r="WBL46" s="196"/>
      <c r="WBM46" s="196"/>
      <c r="WBN46" s="196"/>
      <c r="WBO46" s="196"/>
      <c r="WBP46" s="196"/>
      <c r="WBQ46" s="196"/>
      <c r="WBR46" s="647"/>
      <c r="WBS46" s="196"/>
      <c r="WBT46" s="646"/>
      <c r="WBU46" s="1400"/>
      <c r="WBV46" s="1401"/>
      <c r="WBW46" s="196"/>
      <c r="WBX46" s="196"/>
      <c r="WBY46" s="196"/>
      <c r="WBZ46" s="196"/>
      <c r="WCA46" s="196"/>
      <c r="WCB46" s="196"/>
      <c r="WCC46" s="647"/>
      <c r="WCD46" s="196"/>
      <c r="WCE46" s="646"/>
      <c r="WCF46" s="1400"/>
      <c r="WCG46" s="1401"/>
      <c r="WCH46" s="196"/>
      <c r="WCI46" s="196"/>
      <c r="WCJ46" s="196"/>
      <c r="WCK46" s="196"/>
      <c r="WCL46" s="196"/>
      <c r="WCM46" s="196"/>
      <c r="WCN46" s="647"/>
      <c r="WCO46" s="196"/>
      <c r="WCP46" s="646"/>
      <c r="WCQ46" s="1400"/>
      <c r="WCR46" s="1401"/>
      <c r="WCS46" s="196"/>
      <c r="WCT46" s="196"/>
      <c r="WCU46" s="196"/>
      <c r="WCV46" s="196"/>
      <c r="WCW46" s="196"/>
      <c r="WCX46" s="196"/>
      <c r="WCY46" s="647"/>
      <c r="WCZ46" s="196"/>
      <c r="WDA46" s="646"/>
      <c r="WDB46" s="1400"/>
      <c r="WDC46" s="1401"/>
      <c r="WDD46" s="196"/>
      <c r="WDE46" s="196"/>
      <c r="WDF46" s="196"/>
      <c r="WDG46" s="196"/>
      <c r="WDH46" s="196"/>
      <c r="WDI46" s="196"/>
      <c r="WDJ46" s="647"/>
      <c r="WDK46" s="196"/>
      <c r="WDL46" s="646"/>
      <c r="WDM46" s="1400"/>
      <c r="WDN46" s="1401"/>
      <c r="WDO46" s="196"/>
      <c r="WDP46" s="196"/>
      <c r="WDQ46" s="196"/>
      <c r="WDR46" s="196"/>
      <c r="WDS46" s="196"/>
      <c r="WDT46" s="196"/>
      <c r="WDU46" s="647"/>
      <c r="WDV46" s="196"/>
      <c r="WDW46" s="646"/>
      <c r="WDX46" s="1400"/>
      <c r="WDY46" s="1401"/>
      <c r="WDZ46" s="196"/>
      <c r="WEA46" s="196"/>
      <c r="WEB46" s="196"/>
      <c r="WEC46" s="196"/>
      <c r="WED46" s="196"/>
      <c r="WEE46" s="196"/>
      <c r="WEF46" s="647"/>
      <c r="WEG46" s="196"/>
      <c r="WEH46" s="646"/>
      <c r="WEI46" s="1400"/>
      <c r="WEJ46" s="1401"/>
      <c r="WEK46" s="196"/>
      <c r="WEL46" s="196"/>
      <c r="WEM46" s="196"/>
      <c r="WEN46" s="196"/>
      <c r="WEO46" s="196"/>
      <c r="WEP46" s="196"/>
      <c r="WEQ46" s="647"/>
      <c r="WER46" s="196"/>
      <c r="WES46" s="646"/>
      <c r="WET46" s="1400"/>
      <c r="WEU46" s="1401"/>
      <c r="WEV46" s="196"/>
      <c r="WEW46" s="196"/>
      <c r="WEX46" s="196"/>
      <c r="WEY46" s="196"/>
      <c r="WEZ46" s="196"/>
      <c r="WFA46" s="196"/>
      <c r="WFB46" s="647"/>
      <c r="WFC46" s="196"/>
      <c r="WFD46" s="646"/>
      <c r="WFE46" s="1400"/>
      <c r="WFF46" s="1401"/>
      <c r="WFG46" s="196"/>
      <c r="WFH46" s="196"/>
      <c r="WFI46" s="196"/>
      <c r="WFJ46" s="196"/>
      <c r="WFK46" s="196"/>
      <c r="WFL46" s="196"/>
      <c r="WFM46" s="647"/>
      <c r="WFN46" s="196"/>
      <c r="WFO46" s="646"/>
      <c r="WFP46" s="1400"/>
      <c r="WFQ46" s="1401"/>
      <c r="WFR46" s="196"/>
      <c r="WFS46" s="196"/>
      <c r="WFT46" s="196"/>
      <c r="WFU46" s="196"/>
      <c r="WFV46" s="196"/>
      <c r="WFW46" s="196"/>
      <c r="WFX46" s="647"/>
      <c r="WFY46" s="196"/>
      <c r="WFZ46" s="646"/>
      <c r="WGA46" s="1400"/>
      <c r="WGB46" s="1401"/>
      <c r="WGC46" s="196"/>
      <c r="WGD46" s="196"/>
      <c r="WGE46" s="196"/>
      <c r="WGF46" s="196"/>
      <c r="WGG46" s="196"/>
      <c r="WGH46" s="196"/>
      <c r="WGI46" s="647"/>
      <c r="WGJ46" s="196"/>
      <c r="WGK46" s="646"/>
      <c r="WGL46" s="1400"/>
      <c r="WGM46" s="1401"/>
      <c r="WGN46" s="196"/>
      <c r="WGO46" s="196"/>
      <c r="WGP46" s="196"/>
      <c r="WGQ46" s="196"/>
      <c r="WGR46" s="196"/>
      <c r="WGS46" s="196"/>
      <c r="WGT46" s="647"/>
      <c r="WGU46" s="196"/>
      <c r="WGV46" s="646"/>
      <c r="WGW46" s="1400"/>
      <c r="WGX46" s="1401"/>
      <c r="WGY46" s="196"/>
      <c r="WGZ46" s="196"/>
      <c r="WHA46" s="196"/>
      <c r="WHB46" s="196"/>
      <c r="WHC46" s="196"/>
      <c r="WHD46" s="196"/>
      <c r="WHE46" s="647"/>
      <c r="WHF46" s="196"/>
      <c r="WHG46" s="646"/>
      <c r="WHH46" s="1400"/>
      <c r="WHI46" s="1401"/>
      <c r="WHJ46" s="196"/>
      <c r="WHK46" s="196"/>
      <c r="WHL46" s="196"/>
      <c r="WHM46" s="196"/>
      <c r="WHN46" s="196"/>
      <c r="WHO46" s="196"/>
      <c r="WHP46" s="647"/>
      <c r="WHQ46" s="196"/>
      <c r="WHR46" s="646"/>
      <c r="WHS46" s="1400"/>
      <c r="WHT46" s="1401"/>
      <c r="WHU46" s="196"/>
      <c r="WHV46" s="196"/>
      <c r="WHW46" s="196"/>
      <c r="WHX46" s="196"/>
      <c r="WHY46" s="196"/>
      <c r="WHZ46" s="196"/>
      <c r="WIA46" s="647"/>
      <c r="WIB46" s="196"/>
      <c r="WIC46" s="646"/>
      <c r="WID46" s="1400"/>
      <c r="WIE46" s="1401"/>
      <c r="WIF46" s="196"/>
      <c r="WIG46" s="196"/>
      <c r="WIH46" s="196"/>
      <c r="WII46" s="196"/>
      <c r="WIJ46" s="196"/>
      <c r="WIK46" s="196"/>
      <c r="WIL46" s="647"/>
      <c r="WIM46" s="196"/>
      <c r="WIN46" s="646"/>
      <c r="WIO46" s="1400"/>
      <c r="WIP46" s="1401"/>
      <c r="WIQ46" s="196"/>
      <c r="WIR46" s="196"/>
      <c r="WIS46" s="196"/>
      <c r="WIT46" s="196"/>
      <c r="WIU46" s="196"/>
      <c r="WIV46" s="196"/>
      <c r="WIW46" s="647"/>
      <c r="WIX46" s="196"/>
      <c r="WIY46" s="646"/>
      <c r="WIZ46" s="1400"/>
      <c r="WJA46" s="1401"/>
      <c r="WJB46" s="196"/>
      <c r="WJC46" s="196"/>
      <c r="WJD46" s="196"/>
      <c r="WJE46" s="196"/>
      <c r="WJF46" s="196"/>
      <c r="WJG46" s="196"/>
      <c r="WJH46" s="647"/>
      <c r="WJI46" s="196"/>
      <c r="WJJ46" s="646"/>
      <c r="WJK46" s="1400"/>
      <c r="WJL46" s="1401"/>
      <c r="WJM46" s="196"/>
      <c r="WJN46" s="196"/>
      <c r="WJO46" s="196"/>
      <c r="WJP46" s="196"/>
      <c r="WJQ46" s="196"/>
      <c r="WJR46" s="196"/>
      <c r="WJS46" s="647"/>
      <c r="WJT46" s="196"/>
      <c r="WJU46" s="646"/>
      <c r="WJV46" s="1400"/>
      <c r="WJW46" s="1401"/>
      <c r="WJX46" s="196"/>
      <c r="WJY46" s="196"/>
      <c r="WJZ46" s="196"/>
      <c r="WKA46" s="196"/>
      <c r="WKB46" s="196"/>
      <c r="WKC46" s="196"/>
      <c r="WKD46" s="647"/>
      <c r="WKE46" s="196"/>
      <c r="WKF46" s="646"/>
      <c r="WKG46" s="1400"/>
      <c r="WKH46" s="1401"/>
      <c r="WKI46" s="196"/>
      <c r="WKJ46" s="196"/>
      <c r="WKK46" s="196"/>
      <c r="WKL46" s="196"/>
      <c r="WKM46" s="196"/>
      <c r="WKN46" s="196"/>
      <c r="WKO46" s="647"/>
      <c r="WKP46" s="196"/>
      <c r="WKQ46" s="646"/>
      <c r="WKR46" s="1400"/>
      <c r="WKS46" s="1401"/>
      <c r="WKT46" s="196"/>
      <c r="WKU46" s="196"/>
      <c r="WKV46" s="196"/>
      <c r="WKW46" s="196"/>
      <c r="WKX46" s="196"/>
      <c r="WKY46" s="196"/>
      <c r="WKZ46" s="647"/>
      <c r="WLA46" s="196"/>
      <c r="WLB46" s="646"/>
      <c r="WLC46" s="1400"/>
      <c r="WLD46" s="1401"/>
      <c r="WLE46" s="196"/>
      <c r="WLF46" s="196"/>
      <c r="WLG46" s="196"/>
      <c r="WLH46" s="196"/>
      <c r="WLI46" s="196"/>
      <c r="WLJ46" s="196"/>
      <c r="WLK46" s="647"/>
      <c r="WLL46" s="196"/>
      <c r="WLM46" s="646"/>
      <c r="WLN46" s="1400"/>
      <c r="WLO46" s="1401"/>
      <c r="WLP46" s="196"/>
      <c r="WLQ46" s="196"/>
      <c r="WLR46" s="196"/>
      <c r="WLS46" s="196"/>
      <c r="WLT46" s="196"/>
      <c r="WLU46" s="196"/>
      <c r="WLV46" s="647"/>
      <c r="WLW46" s="196"/>
      <c r="WLX46" s="646"/>
      <c r="WLY46" s="1400"/>
      <c r="WLZ46" s="1401"/>
      <c r="WMA46" s="196"/>
      <c r="WMB46" s="196"/>
      <c r="WMC46" s="196"/>
      <c r="WMD46" s="196"/>
      <c r="WME46" s="196"/>
      <c r="WMF46" s="196"/>
      <c r="WMG46" s="647"/>
      <c r="WMH46" s="196"/>
      <c r="WMI46" s="646"/>
      <c r="WMJ46" s="1400"/>
      <c r="WMK46" s="1401"/>
      <c r="WML46" s="196"/>
      <c r="WMM46" s="196"/>
      <c r="WMN46" s="196"/>
      <c r="WMO46" s="196"/>
      <c r="WMP46" s="196"/>
      <c r="WMQ46" s="196"/>
      <c r="WMR46" s="647"/>
      <c r="WMS46" s="196"/>
      <c r="WMT46" s="646"/>
      <c r="WMU46" s="1400"/>
      <c r="WMV46" s="1401"/>
      <c r="WMW46" s="196"/>
      <c r="WMX46" s="196"/>
      <c r="WMY46" s="196"/>
      <c r="WMZ46" s="196"/>
      <c r="WNA46" s="196"/>
      <c r="WNB46" s="196"/>
      <c r="WNC46" s="647"/>
      <c r="WND46" s="196"/>
      <c r="WNE46" s="646"/>
      <c r="WNF46" s="1400"/>
      <c r="WNG46" s="1401"/>
      <c r="WNH46" s="196"/>
      <c r="WNI46" s="196"/>
      <c r="WNJ46" s="196"/>
      <c r="WNK46" s="196"/>
      <c r="WNL46" s="196"/>
      <c r="WNM46" s="196"/>
      <c r="WNN46" s="647"/>
      <c r="WNO46" s="196"/>
      <c r="WNP46" s="646"/>
      <c r="WNQ46" s="1400"/>
      <c r="WNR46" s="1401"/>
      <c r="WNS46" s="196"/>
      <c r="WNT46" s="196"/>
      <c r="WNU46" s="196"/>
      <c r="WNV46" s="196"/>
      <c r="WNW46" s="196"/>
      <c r="WNX46" s="196"/>
      <c r="WNY46" s="647"/>
      <c r="WNZ46" s="196"/>
      <c r="WOA46" s="646"/>
      <c r="WOB46" s="1400"/>
      <c r="WOC46" s="1401"/>
      <c r="WOD46" s="196"/>
      <c r="WOE46" s="196"/>
      <c r="WOF46" s="196"/>
      <c r="WOG46" s="196"/>
      <c r="WOH46" s="196"/>
      <c r="WOI46" s="196"/>
      <c r="WOJ46" s="647"/>
      <c r="WOK46" s="196"/>
      <c r="WOL46" s="646"/>
      <c r="WOM46" s="1400"/>
      <c r="WON46" s="1401"/>
      <c r="WOO46" s="196"/>
      <c r="WOP46" s="196"/>
      <c r="WOQ46" s="196"/>
      <c r="WOR46" s="196"/>
      <c r="WOS46" s="196"/>
      <c r="WOT46" s="196"/>
      <c r="WOU46" s="647"/>
      <c r="WOV46" s="196"/>
      <c r="WOW46" s="646"/>
      <c r="WOX46" s="1400"/>
      <c r="WOY46" s="1401"/>
      <c r="WOZ46" s="196"/>
      <c r="WPA46" s="196"/>
      <c r="WPB46" s="196"/>
      <c r="WPC46" s="196"/>
      <c r="WPD46" s="196"/>
      <c r="WPE46" s="196"/>
      <c r="WPF46" s="647"/>
      <c r="WPG46" s="196"/>
      <c r="WPH46" s="646"/>
      <c r="WPI46" s="1400"/>
      <c r="WPJ46" s="1401"/>
      <c r="WPK46" s="196"/>
      <c r="WPL46" s="196"/>
      <c r="WPM46" s="196"/>
      <c r="WPN46" s="196"/>
      <c r="WPO46" s="196"/>
      <c r="WPP46" s="196"/>
      <c r="WPQ46" s="647"/>
      <c r="WPR46" s="196"/>
      <c r="WPS46" s="646"/>
      <c r="WPT46" s="1400"/>
      <c r="WPU46" s="1401"/>
      <c r="WPV46" s="196"/>
      <c r="WPW46" s="196"/>
      <c r="WPX46" s="196"/>
      <c r="WPY46" s="196"/>
      <c r="WPZ46" s="196"/>
      <c r="WQA46" s="196"/>
      <c r="WQB46" s="647"/>
      <c r="WQC46" s="196"/>
      <c r="WQD46" s="646"/>
      <c r="WQE46" s="1400"/>
      <c r="WQF46" s="1401"/>
      <c r="WQG46" s="196"/>
      <c r="WQH46" s="196"/>
      <c r="WQI46" s="196"/>
      <c r="WQJ46" s="196"/>
      <c r="WQK46" s="196"/>
      <c r="WQL46" s="196"/>
      <c r="WQM46" s="647"/>
      <c r="WQN46" s="196"/>
      <c r="WQO46" s="646"/>
      <c r="WQP46" s="1400"/>
      <c r="WQQ46" s="1401"/>
      <c r="WQR46" s="196"/>
      <c r="WQS46" s="196"/>
      <c r="WQT46" s="196"/>
      <c r="WQU46" s="196"/>
      <c r="WQV46" s="196"/>
      <c r="WQW46" s="196"/>
      <c r="WQX46" s="647"/>
      <c r="WQY46" s="196"/>
      <c r="WQZ46" s="646"/>
      <c r="WRA46" s="1400"/>
      <c r="WRB46" s="1401"/>
      <c r="WRC46" s="196"/>
      <c r="WRD46" s="196"/>
      <c r="WRE46" s="196"/>
      <c r="WRF46" s="196"/>
      <c r="WRG46" s="196"/>
      <c r="WRH46" s="196"/>
      <c r="WRI46" s="647"/>
      <c r="WRJ46" s="196"/>
      <c r="WRK46" s="646"/>
      <c r="WRL46" s="1400"/>
      <c r="WRM46" s="1401"/>
      <c r="WRN46" s="196"/>
      <c r="WRO46" s="196"/>
      <c r="WRP46" s="196"/>
      <c r="WRQ46" s="196"/>
      <c r="WRR46" s="196"/>
      <c r="WRS46" s="196"/>
      <c r="WRT46" s="647"/>
      <c r="WRU46" s="196"/>
      <c r="WRV46" s="646"/>
      <c r="WRW46" s="1400"/>
      <c r="WRX46" s="1401"/>
      <c r="WRY46" s="196"/>
      <c r="WRZ46" s="196"/>
      <c r="WSA46" s="196"/>
      <c r="WSB46" s="196"/>
      <c r="WSC46" s="196"/>
      <c r="WSD46" s="196"/>
      <c r="WSE46" s="647"/>
      <c r="WSF46" s="196"/>
      <c r="WSG46" s="646"/>
      <c r="WSH46" s="1400"/>
      <c r="WSI46" s="1401"/>
      <c r="WSJ46" s="196"/>
      <c r="WSK46" s="196"/>
      <c r="WSL46" s="196"/>
      <c r="WSM46" s="196"/>
      <c r="WSN46" s="196"/>
      <c r="WSO46" s="196"/>
      <c r="WSP46" s="647"/>
      <c r="WSQ46" s="196"/>
      <c r="WSR46" s="646"/>
      <c r="WSS46" s="1400"/>
      <c r="WST46" s="1401"/>
      <c r="WSU46" s="196"/>
      <c r="WSV46" s="196"/>
      <c r="WSW46" s="196"/>
      <c r="WSX46" s="196"/>
      <c r="WSY46" s="196"/>
      <c r="WSZ46" s="196"/>
      <c r="WTA46" s="647"/>
      <c r="WTB46" s="196"/>
      <c r="WTC46" s="646"/>
      <c r="WTD46" s="1400"/>
      <c r="WTE46" s="1401"/>
      <c r="WTF46" s="196"/>
      <c r="WTG46" s="196"/>
      <c r="WTH46" s="196"/>
      <c r="WTI46" s="196"/>
      <c r="WTJ46" s="196"/>
      <c r="WTK46" s="196"/>
      <c r="WTL46" s="647"/>
      <c r="WTM46" s="196"/>
      <c r="WTN46" s="646"/>
      <c r="WTO46" s="1400"/>
      <c r="WTP46" s="1401"/>
      <c r="WTQ46" s="196"/>
      <c r="WTR46" s="196"/>
      <c r="WTS46" s="196"/>
      <c r="WTT46" s="196"/>
      <c r="WTU46" s="196"/>
      <c r="WTV46" s="196"/>
      <c r="WTW46" s="647"/>
      <c r="WTX46" s="196"/>
      <c r="WTY46" s="646"/>
      <c r="WTZ46" s="1400"/>
      <c r="WUA46" s="1401"/>
      <c r="WUB46" s="196"/>
      <c r="WUC46" s="196"/>
      <c r="WUD46" s="196"/>
      <c r="WUE46" s="196"/>
      <c r="WUF46" s="196"/>
      <c r="WUG46" s="196"/>
      <c r="WUH46" s="647"/>
      <c r="WUI46" s="196"/>
      <c r="WUJ46" s="646"/>
      <c r="WUK46" s="1400"/>
      <c r="WUL46" s="1401"/>
      <c r="WUM46" s="196"/>
      <c r="WUN46" s="196"/>
      <c r="WUO46" s="196"/>
      <c r="WUP46" s="196"/>
      <c r="WUQ46" s="196"/>
      <c r="WUR46" s="196"/>
      <c r="WUS46" s="647"/>
      <c r="WUT46" s="196"/>
      <c r="WUU46" s="646"/>
      <c r="WUV46" s="1400"/>
      <c r="WUW46" s="1401"/>
      <c r="WUX46" s="196"/>
      <c r="WUY46" s="196"/>
      <c r="WUZ46" s="196"/>
      <c r="WVA46" s="196"/>
      <c r="WVB46" s="196"/>
      <c r="WVC46" s="196"/>
      <c r="WVD46" s="647"/>
      <c r="WVE46" s="196"/>
      <c r="WVF46" s="646"/>
      <c r="WVG46" s="1400"/>
      <c r="WVH46" s="1401"/>
      <c r="WVI46" s="196"/>
      <c r="WVJ46" s="196"/>
      <c r="WVK46" s="196"/>
      <c r="WVL46" s="196"/>
      <c r="WVM46" s="196"/>
      <c r="WVN46" s="196"/>
      <c r="WVO46" s="647"/>
      <c r="WVP46" s="196"/>
      <c r="WVQ46" s="646"/>
      <c r="WVR46" s="1400"/>
      <c r="WVS46" s="1401"/>
      <c r="WVT46" s="196"/>
      <c r="WVU46" s="196"/>
      <c r="WVV46" s="196"/>
      <c r="WVW46" s="196"/>
      <c r="WVX46" s="196"/>
      <c r="WVY46" s="196"/>
      <c r="WVZ46" s="647"/>
      <c r="WWA46" s="196"/>
      <c r="WWB46" s="646"/>
      <c r="WWC46" s="1400"/>
      <c r="WWD46" s="1401"/>
      <c r="WWE46" s="196"/>
      <c r="WWF46" s="196"/>
      <c r="WWG46" s="196"/>
      <c r="WWH46" s="196"/>
      <c r="WWI46" s="196"/>
      <c r="WWJ46" s="196"/>
      <c r="WWK46" s="647"/>
      <c r="WWL46" s="196"/>
      <c r="WWM46" s="646"/>
      <c r="WWN46" s="1400"/>
      <c r="WWO46" s="1401"/>
      <c r="WWP46" s="196"/>
      <c r="WWQ46" s="196"/>
      <c r="WWR46" s="196"/>
      <c r="WWS46" s="196"/>
      <c r="WWT46" s="196"/>
      <c r="WWU46" s="196"/>
      <c r="WWV46" s="647"/>
      <c r="WWW46" s="196"/>
      <c r="WWX46" s="646"/>
      <c r="WWY46" s="1400"/>
      <c r="WWZ46" s="1401"/>
      <c r="WXA46" s="196"/>
      <c r="WXB46" s="196"/>
      <c r="WXC46" s="196"/>
      <c r="WXD46" s="196"/>
      <c r="WXE46" s="196"/>
      <c r="WXF46" s="196"/>
      <c r="WXG46" s="647"/>
      <c r="WXH46" s="196"/>
      <c r="WXI46" s="646"/>
      <c r="WXJ46" s="1400"/>
      <c r="WXK46" s="1401"/>
      <c r="WXL46" s="196"/>
      <c r="WXM46" s="196"/>
      <c r="WXN46" s="196"/>
      <c r="WXO46" s="196"/>
      <c r="WXP46" s="196"/>
      <c r="WXQ46" s="196"/>
      <c r="WXR46" s="647"/>
      <c r="WXS46" s="196"/>
      <c r="WXT46" s="646"/>
      <c r="WXU46" s="1400"/>
      <c r="WXV46" s="1401"/>
      <c r="WXW46" s="196"/>
      <c r="WXX46" s="196"/>
      <c r="WXY46" s="196"/>
      <c r="WXZ46" s="196"/>
      <c r="WYA46" s="196"/>
      <c r="WYB46" s="196"/>
      <c r="WYC46" s="647"/>
      <c r="WYD46" s="196"/>
      <c r="WYE46" s="646"/>
      <c r="WYF46" s="1400"/>
      <c r="WYG46" s="1401"/>
      <c r="WYH46" s="196"/>
      <c r="WYI46" s="196"/>
      <c r="WYJ46" s="196"/>
      <c r="WYK46" s="196"/>
      <c r="WYL46" s="196"/>
      <c r="WYM46" s="196"/>
      <c r="WYN46" s="647"/>
      <c r="WYO46" s="196"/>
      <c r="WYP46" s="646"/>
      <c r="WYQ46" s="1400"/>
      <c r="WYR46" s="1401"/>
      <c r="WYS46" s="196"/>
      <c r="WYT46" s="196"/>
      <c r="WYU46" s="196"/>
      <c r="WYV46" s="196"/>
      <c r="WYW46" s="196"/>
      <c r="WYX46" s="196"/>
      <c r="WYY46" s="647"/>
      <c r="WYZ46" s="196"/>
      <c r="WZA46" s="646"/>
      <c r="WZB46" s="1400"/>
      <c r="WZC46" s="1401"/>
      <c r="WZD46" s="196"/>
      <c r="WZE46" s="196"/>
      <c r="WZF46" s="196"/>
      <c r="WZG46" s="196"/>
      <c r="WZH46" s="196"/>
      <c r="WZI46" s="196"/>
      <c r="WZJ46" s="647"/>
      <c r="WZK46" s="196"/>
      <c r="WZL46" s="646"/>
      <c r="WZM46" s="1400"/>
      <c r="WZN46" s="1401"/>
      <c r="WZO46" s="196"/>
      <c r="WZP46" s="196"/>
      <c r="WZQ46" s="196"/>
      <c r="WZR46" s="196"/>
      <c r="WZS46" s="196"/>
      <c r="WZT46" s="196"/>
      <c r="WZU46" s="647"/>
      <c r="WZV46" s="196"/>
      <c r="WZW46" s="646"/>
      <c r="WZX46" s="1400"/>
      <c r="WZY46" s="1401"/>
      <c r="WZZ46" s="196"/>
      <c r="XAA46" s="196"/>
      <c r="XAB46" s="196"/>
      <c r="XAC46" s="196"/>
      <c r="XAD46" s="196"/>
      <c r="XAE46" s="196"/>
      <c r="XAF46" s="647"/>
      <c r="XAG46" s="196"/>
      <c r="XAH46" s="646"/>
      <c r="XAI46" s="1400"/>
      <c r="XAJ46" s="1401"/>
      <c r="XAK46" s="196"/>
      <c r="XAL46" s="196"/>
      <c r="XAM46" s="196"/>
      <c r="XAN46" s="196"/>
      <c r="XAO46" s="196"/>
      <c r="XAP46" s="196"/>
      <c r="XAQ46" s="647"/>
      <c r="XAR46" s="196"/>
      <c r="XAS46" s="646"/>
      <c r="XAT46" s="1400"/>
      <c r="XAU46" s="1401"/>
      <c r="XAV46" s="196"/>
      <c r="XAW46" s="196"/>
      <c r="XAX46" s="196"/>
      <c r="XAY46" s="196"/>
      <c r="XAZ46" s="196"/>
      <c r="XBA46" s="196"/>
      <c r="XBB46" s="647"/>
      <c r="XBC46" s="196"/>
      <c r="XBD46" s="646"/>
      <c r="XBE46" s="1400"/>
      <c r="XBF46" s="1401"/>
      <c r="XBG46" s="196"/>
      <c r="XBH46" s="196"/>
      <c r="XBI46" s="196"/>
      <c r="XBJ46" s="196"/>
      <c r="XBK46" s="196"/>
      <c r="XBL46" s="196"/>
      <c r="XBM46" s="647"/>
      <c r="XBN46" s="196"/>
      <c r="XBO46" s="646"/>
      <c r="XBP46" s="1400"/>
      <c r="XBQ46" s="1401"/>
      <c r="XBR46" s="196"/>
      <c r="XBS46" s="196"/>
      <c r="XBT46" s="196"/>
      <c r="XBU46" s="196"/>
      <c r="XBV46" s="196"/>
      <c r="XBW46" s="196"/>
      <c r="XBX46" s="647"/>
      <c r="XBY46" s="196"/>
      <c r="XBZ46" s="646"/>
      <c r="XCA46" s="1400"/>
      <c r="XCB46" s="1401"/>
      <c r="XCC46" s="196"/>
      <c r="XCD46" s="196"/>
      <c r="XCE46" s="196"/>
      <c r="XCF46" s="196"/>
      <c r="XCG46" s="196"/>
      <c r="XCH46" s="196"/>
      <c r="XCI46" s="647"/>
      <c r="XCJ46" s="196"/>
      <c r="XCK46" s="646"/>
      <c r="XCL46" s="1400"/>
      <c r="XCM46" s="1401"/>
      <c r="XCN46" s="196"/>
      <c r="XCO46" s="196"/>
      <c r="XCP46" s="196"/>
      <c r="XCQ46" s="196"/>
      <c r="XCR46" s="196"/>
      <c r="XCS46" s="196"/>
      <c r="XCT46" s="647"/>
      <c r="XCU46" s="196"/>
      <c r="XCV46" s="646"/>
      <c r="XCW46" s="1400"/>
      <c r="XCX46" s="1401"/>
      <c r="XCY46" s="196"/>
      <c r="XCZ46" s="196"/>
      <c r="XDA46" s="196"/>
      <c r="XDB46" s="196"/>
      <c r="XDC46" s="196"/>
      <c r="XDD46" s="196"/>
      <c r="XDE46" s="647"/>
      <c r="XDF46" s="196"/>
      <c r="XDG46" s="646"/>
      <c r="XDH46" s="1400"/>
      <c r="XDI46" s="1401"/>
      <c r="XDJ46" s="196"/>
      <c r="XDK46" s="196"/>
      <c r="XDL46" s="196"/>
      <c r="XDM46" s="196"/>
      <c r="XDN46" s="196"/>
      <c r="XDO46" s="196"/>
      <c r="XDP46" s="647"/>
      <c r="XDQ46" s="196"/>
      <c r="XDR46" s="646"/>
      <c r="XDS46" s="1400"/>
      <c r="XDT46" s="1401"/>
      <c r="XDU46" s="196"/>
      <c r="XDV46" s="196"/>
      <c r="XDW46" s="196"/>
      <c r="XDX46" s="196"/>
      <c r="XDY46" s="196"/>
      <c r="XDZ46" s="196"/>
      <c r="XEA46" s="647"/>
      <c r="XEB46" s="196"/>
      <c r="XEC46" s="646"/>
      <c r="XED46" s="1400"/>
      <c r="XEE46" s="1401"/>
      <c r="XEF46" s="196"/>
      <c r="XEG46" s="196"/>
      <c r="XEH46" s="196"/>
      <c r="XEI46" s="196"/>
      <c r="XEJ46" s="196"/>
      <c r="XEK46" s="196"/>
      <c r="XEL46" s="647"/>
      <c r="XEM46" s="196"/>
      <c r="XEN46" s="646"/>
      <c r="XEO46" s="1400"/>
      <c r="XEP46" s="1401"/>
      <c r="XEQ46" s="196"/>
      <c r="XER46" s="196"/>
      <c r="XES46" s="196"/>
      <c r="XET46" s="196"/>
      <c r="XEU46" s="196"/>
      <c r="XEV46" s="196"/>
      <c r="XEW46" s="647"/>
      <c r="XEX46" s="196"/>
      <c r="XEY46" s="646"/>
      <c r="XEZ46" s="1400"/>
      <c r="XFA46" s="1401"/>
      <c r="XFB46" s="196"/>
      <c r="XFC46" s="196"/>
      <c r="XFD46" s="196"/>
    </row>
    <row r="47" spans="1:16384" ht="24.95" customHeight="1">
      <c r="A47" s="1396" t="s">
        <v>1299</v>
      </c>
      <c r="B47" s="1396"/>
      <c r="C47" s="1396"/>
      <c r="D47" s="1396"/>
      <c r="E47" s="1396"/>
      <c r="F47" s="1396"/>
      <c r="G47" s="1396"/>
      <c r="H47" s="1396"/>
      <c r="I47" s="1396"/>
      <c r="J47" s="1396"/>
      <c r="K47" s="1396"/>
    </row>
    <row r="48" spans="1:16384" ht="20.25" hidden="1" customHeight="1">
      <c r="A48" s="191"/>
      <c r="B48" s="189"/>
      <c r="C48" s="182"/>
      <c r="D48" s="182"/>
      <c r="E48" s="182"/>
      <c r="F48" s="182"/>
      <c r="G48" s="182"/>
      <c r="H48" s="182"/>
      <c r="I48" s="648"/>
      <c r="J48" s="182"/>
      <c r="K48" s="648"/>
    </row>
    <row r="49" spans="1:20" ht="20.25" hidden="1" customHeight="1">
      <c r="A49" s="191"/>
      <c r="B49" s="189"/>
      <c r="C49" s="182"/>
      <c r="D49" s="182"/>
      <c r="E49" s="182"/>
      <c r="F49" s="182"/>
      <c r="G49" s="182"/>
      <c r="H49" s="182"/>
      <c r="I49" s="648"/>
      <c r="J49" s="182"/>
      <c r="K49" s="648"/>
    </row>
    <row r="50" spans="1:20" ht="20.25" hidden="1" customHeight="1">
      <c r="A50" s="191"/>
      <c r="B50" s="189"/>
      <c r="C50" s="182"/>
      <c r="D50" s="182"/>
      <c r="E50" s="182"/>
      <c r="F50" s="182"/>
      <c r="G50" s="182"/>
      <c r="H50" s="182"/>
      <c r="I50" s="648"/>
      <c r="J50" s="182"/>
      <c r="K50" s="648"/>
    </row>
    <row r="51" spans="1:20" s="12" customFormat="1" ht="15" customHeight="1">
      <c r="A51" s="1391" t="s">
        <v>864</v>
      </c>
      <c r="B51" s="1386" t="s">
        <v>865</v>
      </c>
      <c r="C51" s="1386" t="s">
        <v>133</v>
      </c>
      <c r="D51" s="1392" t="str">
        <f>+$D$9</f>
        <v xml:space="preserve">Planned for next FY 2019-20 </v>
      </c>
      <c r="E51" s="1392"/>
      <c r="F51" s="1392"/>
      <c r="G51" s="1392"/>
      <c r="H51" s="1392"/>
      <c r="I51" s="1392"/>
      <c r="J51" s="1392"/>
      <c r="K51" s="1392"/>
      <c r="L51" s="223"/>
      <c r="M51" s="223"/>
      <c r="N51" s="223"/>
      <c r="O51" s="223"/>
      <c r="P51" s="223"/>
      <c r="Q51" s="223"/>
      <c r="R51" s="223"/>
      <c r="S51" s="223"/>
      <c r="T51" s="223"/>
    </row>
    <row r="52" spans="1:20" s="12" customFormat="1" ht="15" customHeight="1">
      <c r="A52" s="1391"/>
      <c r="B52" s="1386"/>
      <c r="C52" s="1386"/>
      <c r="D52" s="1395" t="s">
        <v>134</v>
      </c>
      <c r="E52" s="1395"/>
      <c r="F52" s="1395"/>
      <c r="G52" s="1395"/>
      <c r="H52" s="1395"/>
      <c r="I52" s="1395"/>
      <c r="J52" s="1395" t="s">
        <v>135</v>
      </c>
      <c r="K52" s="1392"/>
      <c r="L52" s="223"/>
      <c r="M52" s="223"/>
      <c r="N52" s="223"/>
      <c r="O52" s="223"/>
      <c r="P52" s="223"/>
      <c r="Q52" s="223"/>
      <c r="R52" s="223"/>
      <c r="S52" s="223"/>
      <c r="T52" s="223"/>
    </row>
    <row r="53" spans="1:20" s="12" customFormat="1" ht="15" customHeight="1">
      <c r="A53" s="1391"/>
      <c r="B53" s="1386"/>
      <c r="C53" s="1386"/>
      <c r="D53" s="1386" t="s">
        <v>136</v>
      </c>
      <c r="E53" s="1386"/>
      <c r="F53" s="1386" t="s">
        <v>137</v>
      </c>
      <c r="G53" s="1386"/>
      <c r="H53" s="1386" t="s">
        <v>138</v>
      </c>
      <c r="I53" s="1387" t="s">
        <v>866</v>
      </c>
      <c r="J53" s="1386" t="s">
        <v>139</v>
      </c>
      <c r="K53" s="1387" t="s">
        <v>866</v>
      </c>
      <c r="L53" s="223"/>
      <c r="M53" s="223"/>
      <c r="N53" s="223"/>
      <c r="O53" s="223"/>
      <c r="P53" s="223"/>
      <c r="Q53" s="223"/>
      <c r="R53" s="223"/>
      <c r="S53" s="223"/>
      <c r="T53" s="223"/>
    </row>
    <row r="54" spans="1:20" s="13" customFormat="1" ht="15" customHeight="1">
      <c r="A54" s="1391"/>
      <c r="B54" s="1386"/>
      <c r="C54" s="1386"/>
      <c r="D54" s="603" t="s">
        <v>140</v>
      </c>
      <c r="E54" s="603" t="s">
        <v>141</v>
      </c>
      <c r="F54" s="603" t="s">
        <v>140</v>
      </c>
      <c r="G54" s="603" t="s">
        <v>141</v>
      </c>
      <c r="H54" s="1386"/>
      <c r="I54" s="1387"/>
      <c r="J54" s="1386"/>
      <c r="K54" s="1387"/>
      <c r="L54" s="224"/>
      <c r="M54" s="224"/>
      <c r="N54" s="224"/>
      <c r="O54" s="224"/>
      <c r="P54" s="224"/>
      <c r="Q54" s="224"/>
      <c r="R54" s="224"/>
      <c r="S54" s="224"/>
      <c r="T54" s="224"/>
    </row>
    <row r="55" spans="1:20" s="16" customFormat="1" ht="21.95" customHeight="1">
      <c r="A55" s="1381" t="s">
        <v>143</v>
      </c>
      <c r="B55" s="194" t="s">
        <v>158</v>
      </c>
      <c r="C55" s="1383">
        <v>23</v>
      </c>
      <c r="D55" s="15">
        <v>14</v>
      </c>
      <c r="E55" s="15">
        <v>3</v>
      </c>
      <c r="F55" s="15"/>
      <c r="G55" s="15"/>
      <c r="H55" s="15">
        <f>SUM(D55:G55)</f>
        <v>17</v>
      </c>
      <c r="I55" s="639">
        <v>46.924999999999997</v>
      </c>
      <c r="J55" s="15">
        <f>SUM(C55-H55)</f>
        <v>6</v>
      </c>
      <c r="K55" s="640">
        <f>+K68</f>
        <v>10.808999999999997</v>
      </c>
      <c r="L55" s="225"/>
      <c r="M55" s="225"/>
      <c r="N55" s="225"/>
      <c r="O55" s="225"/>
      <c r="P55" s="225"/>
      <c r="Q55" s="225"/>
      <c r="R55" s="225"/>
      <c r="S55" s="225"/>
      <c r="T55" s="225"/>
    </row>
    <row r="56" spans="1:20" s="16" customFormat="1" ht="21.95" customHeight="1">
      <c r="A56" s="1382"/>
      <c r="B56" s="194" t="s">
        <v>159</v>
      </c>
      <c r="C56" s="1383"/>
      <c r="D56" s="15"/>
      <c r="E56" s="15"/>
      <c r="F56" s="15"/>
      <c r="G56" s="15"/>
      <c r="H56" s="15">
        <f>SUM(D56:G56)</f>
        <v>0</v>
      </c>
      <c r="I56" s="639"/>
      <c r="J56" s="15"/>
      <c r="K56" s="640"/>
      <c r="L56" s="225"/>
      <c r="M56" s="225"/>
      <c r="N56" s="225"/>
      <c r="O56" s="225"/>
      <c r="P56" s="225"/>
      <c r="Q56" s="225"/>
      <c r="R56" s="225"/>
      <c r="S56" s="225"/>
      <c r="T56" s="225"/>
    </row>
    <row r="57" spans="1:20" s="16" customFormat="1" ht="21.95" customHeight="1">
      <c r="A57" s="1381" t="s">
        <v>144</v>
      </c>
      <c r="B57" s="194" t="s">
        <v>158</v>
      </c>
      <c r="C57" s="1383">
        <v>17</v>
      </c>
      <c r="D57" s="15">
        <v>3</v>
      </c>
      <c r="E57" s="15">
        <v>2</v>
      </c>
      <c r="F57" s="15">
        <v>3</v>
      </c>
      <c r="G57" s="15"/>
      <c r="H57" s="15">
        <f t="shared" ref="H57:H61" si="5">SUM(D57:G57)</f>
        <v>8</v>
      </c>
      <c r="I57" s="639">
        <v>18.786999999999999</v>
      </c>
      <c r="J57" s="15">
        <f>SUM(C57-H57)</f>
        <v>9</v>
      </c>
      <c r="K57" s="640">
        <f>+K70</f>
        <v>14.470999999999997</v>
      </c>
      <c r="L57" s="225"/>
      <c r="M57" s="225"/>
      <c r="N57" s="225"/>
      <c r="O57" s="225"/>
      <c r="P57" s="225"/>
      <c r="Q57" s="225"/>
      <c r="R57" s="225"/>
      <c r="S57" s="225"/>
      <c r="T57" s="225"/>
    </row>
    <row r="58" spans="1:20" s="16" customFormat="1" ht="21.95" customHeight="1">
      <c r="A58" s="1382"/>
      <c r="B58" s="194" t="s">
        <v>159</v>
      </c>
      <c r="C58" s="1383"/>
      <c r="D58" s="15"/>
      <c r="E58" s="15"/>
      <c r="F58" s="15"/>
      <c r="G58" s="15"/>
      <c r="H58" s="15">
        <f t="shared" si="5"/>
        <v>0</v>
      </c>
      <c r="I58" s="639"/>
      <c r="J58" s="15"/>
      <c r="K58" s="640"/>
      <c r="L58" s="225"/>
      <c r="M58" s="225"/>
      <c r="N58" s="225"/>
      <c r="O58" s="225"/>
      <c r="P58" s="225"/>
      <c r="Q58" s="225"/>
      <c r="R58" s="225"/>
      <c r="S58" s="225"/>
      <c r="T58" s="225"/>
    </row>
    <row r="59" spans="1:20" s="16" customFormat="1" ht="21.95" customHeight="1">
      <c r="A59" s="1381" t="s">
        <v>145</v>
      </c>
      <c r="B59" s="194" t="s">
        <v>158</v>
      </c>
      <c r="C59" s="1383">
        <v>28</v>
      </c>
      <c r="D59" s="15">
        <v>10</v>
      </c>
      <c r="E59" s="15">
        <v>5</v>
      </c>
      <c r="F59" s="15">
        <v>7</v>
      </c>
      <c r="G59" s="15">
        <v>4</v>
      </c>
      <c r="H59" s="15">
        <f t="shared" si="5"/>
        <v>26</v>
      </c>
      <c r="I59" s="639">
        <v>43.381</v>
      </c>
      <c r="J59" s="15">
        <f>SUM(C59-H59)</f>
        <v>2</v>
      </c>
      <c r="K59" s="640">
        <f>+K72</f>
        <v>2.6310000000000002</v>
      </c>
      <c r="L59" s="225"/>
      <c r="M59" s="225"/>
      <c r="N59" s="225"/>
      <c r="O59" s="225"/>
      <c r="P59" s="225"/>
      <c r="Q59" s="225"/>
      <c r="R59" s="225"/>
      <c r="S59" s="225"/>
      <c r="T59" s="225"/>
    </row>
    <row r="60" spans="1:20" s="16" customFormat="1" ht="21.95" customHeight="1">
      <c r="A60" s="1382"/>
      <c r="B60" s="194" t="s">
        <v>159</v>
      </c>
      <c r="C60" s="1383"/>
      <c r="D60" s="15"/>
      <c r="E60" s="15"/>
      <c r="F60" s="15"/>
      <c r="G60" s="15"/>
      <c r="H60" s="15">
        <f t="shared" si="5"/>
        <v>0</v>
      </c>
      <c r="I60" s="639"/>
      <c r="J60" s="15"/>
      <c r="K60" s="640"/>
      <c r="L60" s="225"/>
      <c r="M60" s="225"/>
      <c r="N60" s="225"/>
      <c r="O60" s="225"/>
      <c r="P60" s="225"/>
      <c r="Q60" s="225"/>
      <c r="R60" s="225"/>
      <c r="S60" s="225"/>
      <c r="T60" s="225"/>
    </row>
    <row r="61" spans="1:20" s="16" customFormat="1" ht="21.95" customHeight="1">
      <c r="A61" s="602" t="s">
        <v>146</v>
      </c>
      <c r="B61" s="194" t="s">
        <v>158</v>
      </c>
      <c r="C61" s="604">
        <v>54</v>
      </c>
      <c r="D61" s="15">
        <v>4</v>
      </c>
      <c r="E61" s="15">
        <v>3</v>
      </c>
      <c r="F61" s="15">
        <v>23</v>
      </c>
      <c r="G61" s="15">
        <v>15</v>
      </c>
      <c r="H61" s="15">
        <f t="shared" si="5"/>
        <v>45</v>
      </c>
      <c r="I61" s="639">
        <v>49.613</v>
      </c>
      <c r="J61" s="15">
        <f>SUM(C61-H61)</f>
        <v>9</v>
      </c>
      <c r="K61" s="640">
        <f>+K74</f>
        <v>7.8500000000000014</v>
      </c>
      <c r="L61" s="225"/>
      <c r="M61" s="225"/>
      <c r="N61" s="225"/>
      <c r="O61" s="225"/>
      <c r="P61" s="225"/>
      <c r="Q61" s="225"/>
      <c r="R61" s="225"/>
      <c r="S61" s="225"/>
      <c r="T61" s="225"/>
    </row>
    <row r="62" spans="1:20" s="17" customFormat="1" ht="21.95" customHeight="1">
      <c r="A62" s="1384" t="s">
        <v>893</v>
      </c>
      <c r="B62" s="1385"/>
      <c r="C62" s="402">
        <f t="shared" ref="C62:K62" si="6">SUM(C55:C61)</f>
        <v>122</v>
      </c>
      <c r="D62" s="402">
        <f t="shared" si="6"/>
        <v>31</v>
      </c>
      <c r="E62" s="402">
        <f t="shared" si="6"/>
        <v>13</v>
      </c>
      <c r="F62" s="402">
        <f t="shared" si="6"/>
        <v>33</v>
      </c>
      <c r="G62" s="402">
        <f t="shared" si="6"/>
        <v>19</v>
      </c>
      <c r="H62" s="402">
        <f t="shared" si="6"/>
        <v>96</v>
      </c>
      <c r="I62" s="641">
        <f t="shared" si="6"/>
        <v>158.70599999999999</v>
      </c>
      <c r="J62" s="402">
        <f t="shared" si="6"/>
        <v>26</v>
      </c>
      <c r="K62" s="642">
        <f t="shared" si="6"/>
        <v>35.760999999999996</v>
      </c>
      <c r="L62" s="226"/>
      <c r="M62" s="226"/>
      <c r="N62" s="226"/>
      <c r="O62" s="226"/>
      <c r="P62" s="226"/>
      <c r="Q62" s="226"/>
      <c r="R62" s="226"/>
      <c r="S62" s="226"/>
      <c r="T62" s="226"/>
    </row>
    <row r="63" spans="1:20" s="17" customFormat="1" ht="12" customHeight="1">
      <c r="A63" s="1388"/>
      <c r="B63" s="1389"/>
      <c r="C63" s="1389"/>
      <c r="D63" s="1389"/>
      <c r="E63" s="1389"/>
      <c r="F63" s="1389"/>
      <c r="G63" s="1389"/>
      <c r="H63" s="1389"/>
      <c r="I63" s="1389"/>
      <c r="J63" s="1389"/>
      <c r="K63" s="1390"/>
      <c r="L63" s="226"/>
      <c r="M63" s="226"/>
      <c r="N63" s="226"/>
      <c r="O63" s="226"/>
      <c r="P63" s="226"/>
      <c r="Q63" s="226"/>
      <c r="R63" s="226"/>
      <c r="S63" s="226"/>
      <c r="T63" s="226"/>
    </row>
    <row r="64" spans="1:20" s="12" customFormat="1" ht="15" customHeight="1">
      <c r="A64" s="1391" t="s">
        <v>864</v>
      </c>
      <c r="B64" s="1386" t="s">
        <v>865</v>
      </c>
      <c r="C64" s="1386" t="s">
        <v>133</v>
      </c>
      <c r="D64" s="1392" t="str">
        <f>+$D$22</f>
        <v>Status during current year 2018-19</v>
      </c>
      <c r="E64" s="1392"/>
      <c r="F64" s="1392"/>
      <c r="G64" s="1392"/>
      <c r="H64" s="1392"/>
      <c r="I64" s="1392"/>
      <c r="J64" s="1392"/>
      <c r="K64" s="1392"/>
      <c r="L64" s="223"/>
      <c r="M64" s="223"/>
      <c r="N64" s="223"/>
      <c r="O64" s="223"/>
      <c r="P64" s="223"/>
      <c r="Q64" s="223"/>
      <c r="R64" s="223"/>
      <c r="S64" s="223"/>
      <c r="T64" s="223"/>
    </row>
    <row r="65" spans="1:20" s="12" customFormat="1" ht="15" customHeight="1">
      <c r="A65" s="1391"/>
      <c r="B65" s="1386"/>
      <c r="C65" s="1386"/>
      <c r="D65" s="1393" t="s">
        <v>134</v>
      </c>
      <c r="E65" s="1393"/>
      <c r="F65" s="1393"/>
      <c r="G65" s="1393"/>
      <c r="H65" s="1393"/>
      <c r="I65" s="1393"/>
      <c r="J65" s="1393" t="s">
        <v>135</v>
      </c>
      <c r="K65" s="1394"/>
      <c r="L65" s="223"/>
      <c r="M65" s="223"/>
      <c r="N65" s="223"/>
      <c r="O65" s="223"/>
      <c r="P65" s="223"/>
      <c r="Q65" s="223"/>
      <c r="R65" s="223"/>
      <c r="S65" s="223"/>
      <c r="T65" s="223"/>
    </row>
    <row r="66" spans="1:20" s="12" customFormat="1" ht="15" customHeight="1">
      <c r="A66" s="1391"/>
      <c r="B66" s="1386"/>
      <c r="C66" s="1386"/>
      <c r="D66" s="1386" t="s">
        <v>136</v>
      </c>
      <c r="E66" s="1386"/>
      <c r="F66" s="1386" t="s">
        <v>137</v>
      </c>
      <c r="G66" s="1386"/>
      <c r="H66" s="1386" t="s">
        <v>138</v>
      </c>
      <c r="I66" s="1387" t="s">
        <v>866</v>
      </c>
      <c r="J66" s="1386" t="s">
        <v>139</v>
      </c>
      <c r="K66" s="1387" t="s">
        <v>866</v>
      </c>
      <c r="L66" s="223"/>
      <c r="M66" s="223"/>
      <c r="N66" s="223"/>
      <c r="O66" s="223"/>
      <c r="P66" s="223"/>
      <c r="Q66" s="223"/>
      <c r="R66" s="223"/>
      <c r="S66" s="223"/>
      <c r="T66" s="223"/>
    </row>
    <row r="67" spans="1:20" s="13" customFormat="1" ht="15" customHeight="1">
      <c r="A67" s="1391"/>
      <c r="B67" s="1386"/>
      <c r="C67" s="1386"/>
      <c r="D67" s="603" t="s">
        <v>140</v>
      </c>
      <c r="E67" s="603" t="s">
        <v>141</v>
      </c>
      <c r="F67" s="603" t="s">
        <v>140</v>
      </c>
      <c r="G67" s="603" t="s">
        <v>141</v>
      </c>
      <c r="H67" s="1386"/>
      <c r="I67" s="1387"/>
      <c r="J67" s="1386"/>
      <c r="K67" s="1387"/>
      <c r="L67" s="224"/>
      <c r="M67" s="224"/>
      <c r="N67" s="224"/>
      <c r="O67" s="224"/>
      <c r="P67" s="224"/>
      <c r="Q67" s="224"/>
      <c r="R67" s="224"/>
      <c r="S67" s="224"/>
      <c r="T67" s="224"/>
    </row>
    <row r="68" spans="1:20" s="16" customFormat="1" ht="21.95" customHeight="1">
      <c r="A68" s="1381" t="s">
        <v>143</v>
      </c>
      <c r="B68" s="194" t="s">
        <v>158</v>
      </c>
      <c r="C68" s="1383">
        <v>23</v>
      </c>
      <c r="D68" s="15">
        <v>14</v>
      </c>
      <c r="E68" s="15">
        <v>3</v>
      </c>
      <c r="F68" s="15"/>
      <c r="G68" s="15"/>
      <c r="H68" s="15">
        <f>SUM(D68:G68)</f>
        <v>17</v>
      </c>
      <c r="I68" s="639">
        <v>45.701000000000001</v>
      </c>
      <c r="J68" s="15">
        <f>SUM(C68-H68)</f>
        <v>6</v>
      </c>
      <c r="K68" s="640">
        <f>+M68-I68</f>
        <v>10.808999999999997</v>
      </c>
      <c r="L68" s="225"/>
      <c r="M68" s="225">
        <v>56.51</v>
      </c>
      <c r="N68" s="225"/>
      <c r="O68" s="225"/>
      <c r="P68" s="225"/>
      <c r="Q68" s="225"/>
      <c r="R68" s="225"/>
      <c r="S68" s="225"/>
      <c r="T68" s="225"/>
    </row>
    <row r="69" spans="1:20" s="16" customFormat="1" ht="21.95" customHeight="1">
      <c r="A69" s="1382"/>
      <c r="B69" s="194" t="s">
        <v>159</v>
      </c>
      <c r="C69" s="1383"/>
      <c r="D69" s="15"/>
      <c r="E69" s="15"/>
      <c r="F69" s="15"/>
      <c r="G69" s="15"/>
      <c r="H69" s="15">
        <f>SUM(D69:G69)</f>
        <v>0</v>
      </c>
      <c r="I69" s="639"/>
      <c r="J69" s="15"/>
      <c r="K69" s="640"/>
      <c r="L69" s="225"/>
      <c r="M69" s="225"/>
      <c r="N69" s="225"/>
      <c r="O69" s="225"/>
      <c r="P69" s="225"/>
      <c r="Q69" s="225"/>
      <c r="R69" s="225"/>
      <c r="S69" s="225"/>
      <c r="T69" s="225"/>
    </row>
    <row r="70" spans="1:20" s="16" customFormat="1" ht="21.95" customHeight="1">
      <c r="A70" s="1381" t="s">
        <v>144</v>
      </c>
      <c r="B70" s="194" t="s">
        <v>158</v>
      </c>
      <c r="C70" s="1383">
        <v>17</v>
      </c>
      <c r="D70" s="15">
        <v>3</v>
      </c>
      <c r="E70" s="15">
        <v>2</v>
      </c>
      <c r="F70" s="15">
        <v>3</v>
      </c>
      <c r="G70" s="15"/>
      <c r="H70" s="15">
        <f t="shared" ref="H70:H74" si="7">SUM(D70:G70)</f>
        <v>8</v>
      </c>
      <c r="I70" s="639">
        <v>18.268000000000001</v>
      </c>
      <c r="J70" s="15">
        <f>SUM(C70-H70)</f>
        <v>9</v>
      </c>
      <c r="K70" s="640">
        <f>+M70-I70</f>
        <v>14.470999999999997</v>
      </c>
      <c r="L70" s="225"/>
      <c r="M70" s="225">
        <v>32.738999999999997</v>
      </c>
      <c r="N70" s="225"/>
      <c r="O70" s="225"/>
      <c r="P70" s="225"/>
      <c r="Q70" s="225"/>
      <c r="R70" s="225"/>
      <c r="S70" s="225"/>
      <c r="T70" s="225"/>
    </row>
    <row r="71" spans="1:20" s="16" customFormat="1" ht="21.95" customHeight="1">
      <c r="A71" s="1382"/>
      <c r="B71" s="194" t="s">
        <v>159</v>
      </c>
      <c r="C71" s="1383"/>
      <c r="D71" s="15"/>
      <c r="E71" s="15"/>
      <c r="F71" s="15"/>
      <c r="G71" s="15"/>
      <c r="H71" s="15">
        <f t="shared" si="7"/>
        <v>0</v>
      </c>
      <c r="I71" s="639"/>
      <c r="J71" s="15"/>
      <c r="K71" s="640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1:20" s="16" customFormat="1" ht="21.95" customHeight="1">
      <c r="A72" s="1381" t="s">
        <v>145</v>
      </c>
      <c r="B72" s="194" t="s">
        <v>158</v>
      </c>
      <c r="C72" s="1383">
        <v>28</v>
      </c>
      <c r="D72" s="15">
        <v>10</v>
      </c>
      <c r="E72" s="15">
        <v>5</v>
      </c>
      <c r="F72" s="15">
        <v>7</v>
      </c>
      <c r="G72" s="15">
        <v>4</v>
      </c>
      <c r="H72" s="15">
        <f t="shared" si="7"/>
        <v>26</v>
      </c>
      <c r="I72" s="639">
        <v>42.238999999999997</v>
      </c>
      <c r="J72" s="15">
        <f>SUM(C72-H72)</f>
        <v>2</v>
      </c>
      <c r="K72" s="640">
        <f>+M72-I72</f>
        <v>2.6310000000000002</v>
      </c>
      <c r="L72" s="225"/>
      <c r="M72" s="225">
        <v>44.87</v>
      </c>
      <c r="N72" s="225"/>
      <c r="O72" s="225"/>
      <c r="P72" s="225"/>
      <c r="Q72" s="225"/>
      <c r="R72" s="225"/>
      <c r="S72" s="225"/>
      <c r="T72" s="225"/>
    </row>
    <row r="73" spans="1:20" s="16" customFormat="1" ht="21.95" customHeight="1">
      <c r="A73" s="1382"/>
      <c r="B73" s="194" t="s">
        <v>159</v>
      </c>
      <c r="C73" s="1383"/>
      <c r="D73" s="15"/>
      <c r="E73" s="15"/>
      <c r="F73" s="15"/>
      <c r="G73" s="15"/>
      <c r="H73" s="15">
        <f t="shared" si="7"/>
        <v>0</v>
      </c>
      <c r="I73" s="639"/>
      <c r="J73" s="15"/>
      <c r="K73" s="640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1:20" s="16" customFormat="1" ht="21.95" customHeight="1">
      <c r="A74" s="602" t="s">
        <v>146</v>
      </c>
      <c r="B74" s="194" t="s">
        <v>158</v>
      </c>
      <c r="C74" s="604">
        <v>54</v>
      </c>
      <c r="D74" s="15">
        <v>4</v>
      </c>
      <c r="E74" s="15">
        <v>3</v>
      </c>
      <c r="F74" s="15">
        <v>23</v>
      </c>
      <c r="G74" s="15">
        <v>15</v>
      </c>
      <c r="H74" s="15">
        <f t="shared" si="7"/>
        <v>45</v>
      </c>
      <c r="I74" s="639">
        <v>47.753</v>
      </c>
      <c r="J74" s="15">
        <f>SUM(C74-H74)</f>
        <v>9</v>
      </c>
      <c r="K74" s="640">
        <f>+M74-I74</f>
        <v>7.8500000000000014</v>
      </c>
      <c r="L74" s="225"/>
      <c r="M74" s="225">
        <v>55.603000000000002</v>
      </c>
      <c r="N74" s="225"/>
      <c r="O74" s="225"/>
      <c r="P74" s="225"/>
      <c r="Q74" s="225"/>
      <c r="R74" s="225"/>
      <c r="S74" s="225"/>
      <c r="T74" s="225"/>
    </row>
    <row r="75" spans="1:20" s="17" customFormat="1" ht="21.95" customHeight="1">
      <c r="A75" s="1384" t="s">
        <v>893</v>
      </c>
      <c r="B75" s="1385"/>
      <c r="C75" s="402">
        <f t="shared" ref="C75:K75" si="8">SUM(C68:C74)</f>
        <v>122</v>
      </c>
      <c r="D75" s="402">
        <f t="shared" si="8"/>
        <v>31</v>
      </c>
      <c r="E75" s="402">
        <f t="shared" si="8"/>
        <v>13</v>
      </c>
      <c r="F75" s="402">
        <f t="shared" si="8"/>
        <v>33</v>
      </c>
      <c r="G75" s="402">
        <f t="shared" si="8"/>
        <v>19</v>
      </c>
      <c r="H75" s="402">
        <f t="shared" si="8"/>
        <v>96</v>
      </c>
      <c r="I75" s="641">
        <f t="shared" si="8"/>
        <v>153.96100000000001</v>
      </c>
      <c r="J75" s="402">
        <f t="shared" si="8"/>
        <v>26</v>
      </c>
      <c r="K75" s="642">
        <f t="shared" si="8"/>
        <v>35.760999999999996</v>
      </c>
      <c r="L75" s="226"/>
      <c r="M75" s="226"/>
      <c r="N75" s="226"/>
      <c r="O75" s="226"/>
      <c r="P75" s="226"/>
      <c r="Q75" s="226"/>
      <c r="R75" s="226"/>
      <c r="S75" s="226"/>
      <c r="T75" s="226"/>
    </row>
    <row r="76" spans="1:20" s="17" customFormat="1" ht="12" customHeight="1">
      <c r="A76" s="1388"/>
      <c r="B76" s="1389"/>
      <c r="C76" s="1389"/>
      <c r="D76" s="1389"/>
      <c r="E76" s="1389"/>
      <c r="F76" s="1389"/>
      <c r="G76" s="1389"/>
      <c r="H76" s="1389"/>
      <c r="I76" s="1389"/>
      <c r="J76" s="1389"/>
      <c r="K76" s="1390"/>
      <c r="L76" s="226"/>
      <c r="M76" s="226"/>
      <c r="N76" s="226"/>
      <c r="O76" s="226"/>
      <c r="P76" s="226"/>
      <c r="Q76" s="226"/>
      <c r="R76" s="226"/>
      <c r="S76" s="226"/>
      <c r="T76" s="226"/>
    </row>
    <row r="77" spans="1:20" s="17" customFormat="1" ht="15" customHeight="1">
      <c r="A77" s="1391" t="s">
        <v>864</v>
      </c>
      <c r="B77" s="1386" t="s">
        <v>865</v>
      </c>
      <c r="C77" s="1386" t="s">
        <v>133</v>
      </c>
      <c r="D77" s="1392" t="str">
        <f>+$D$35</f>
        <v>Status during last FY 2017-18</v>
      </c>
      <c r="E77" s="1392"/>
      <c r="F77" s="1392"/>
      <c r="G77" s="1392"/>
      <c r="H77" s="1392"/>
      <c r="I77" s="1392"/>
      <c r="J77" s="1392"/>
      <c r="K77" s="1392"/>
      <c r="L77" s="226"/>
      <c r="M77" s="226"/>
      <c r="N77" s="226"/>
      <c r="O77" s="226"/>
      <c r="P77" s="226"/>
      <c r="Q77" s="226"/>
      <c r="R77" s="226"/>
      <c r="S77" s="226"/>
      <c r="T77" s="226"/>
    </row>
    <row r="78" spans="1:20" s="17" customFormat="1" ht="15" customHeight="1">
      <c r="A78" s="1391"/>
      <c r="B78" s="1386"/>
      <c r="C78" s="1386"/>
      <c r="D78" s="1393" t="s">
        <v>134</v>
      </c>
      <c r="E78" s="1393"/>
      <c r="F78" s="1393"/>
      <c r="G78" s="1393"/>
      <c r="H78" s="1393"/>
      <c r="I78" s="1393"/>
      <c r="J78" s="1393" t="s">
        <v>135</v>
      </c>
      <c r="K78" s="1394"/>
      <c r="L78" s="226"/>
      <c r="M78" s="226"/>
      <c r="N78" s="226"/>
      <c r="O78" s="226"/>
      <c r="P78" s="226"/>
      <c r="Q78" s="226"/>
      <c r="R78" s="226"/>
      <c r="S78" s="226"/>
      <c r="T78" s="226"/>
    </row>
    <row r="79" spans="1:20" s="17" customFormat="1" ht="15" customHeight="1">
      <c r="A79" s="1391"/>
      <c r="B79" s="1386"/>
      <c r="C79" s="1386"/>
      <c r="D79" s="1386" t="s">
        <v>136</v>
      </c>
      <c r="E79" s="1386"/>
      <c r="F79" s="1386" t="s">
        <v>137</v>
      </c>
      <c r="G79" s="1386"/>
      <c r="H79" s="1386" t="s">
        <v>138</v>
      </c>
      <c r="I79" s="1387" t="s">
        <v>866</v>
      </c>
      <c r="J79" s="1386" t="s">
        <v>139</v>
      </c>
      <c r="K79" s="1387" t="s">
        <v>866</v>
      </c>
      <c r="L79" s="226"/>
      <c r="M79" s="226"/>
      <c r="N79" s="226"/>
      <c r="O79" s="226"/>
      <c r="P79" s="226"/>
      <c r="Q79" s="226"/>
      <c r="R79" s="226"/>
      <c r="S79" s="226"/>
      <c r="T79" s="226"/>
    </row>
    <row r="80" spans="1:20" s="17" customFormat="1" ht="15" customHeight="1">
      <c r="A80" s="1391"/>
      <c r="B80" s="1386"/>
      <c r="C80" s="1386"/>
      <c r="D80" s="603" t="s">
        <v>140</v>
      </c>
      <c r="E80" s="603" t="s">
        <v>141</v>
      </c>
      <c r="F80" s="603" t="s">
        <v>140</v>
      </c>
      <c r="G80" s="603" t="s">
        <v>141</v>
      </c>
      <c r="H80" s="1386"/>
      <c r="I80" s="1387"/>
      <c r="J80" s="1386"/>
      <c r="K80" s="1387"/>
      <c r="L80" s="226"/>
      <c r="M80" s="226"/>
      <c r="N80" s="226"/>
      <c r="O80" s="226"/>
      <c r="P80" s="226"/>
      <c r="Q80" s="226"/>
      <c r="R80" s="226"/>
      <c r="S80" s="226"/>
      <c r="T80" s="226"/>
    </row>
    <row r="81" spans="1:20" s="17" customFormat="1" ht="21.95" customHeight="1">
      <c r="A81" s="1381" t="s">
        <v>143</v>
      </c>
      <c r="B81" s="194" t="s">
        <v>158</v>
      </c>
      <c r="C81" s="649">
        <v>23</v>
      </c>
      <c r="D81" s="15">
        <v>15</v>
      </c>
      <c r="E81" s="15">
        <v>3</v>
      </c>
      <c r="F81" s="15"/>
      <c r="G81" s="15"/>
      <c r="H81" s="15">
        <v>18</v>
      </c>
      <c r="I81" s="639">
        <v>45.213000000000001</v>
      </c>
      <c r="J81" s="15">
        <f>SUM(C81-H81)</f>
        <v>5</v>
      </c>
      <c r="K81" s="640">
        <v>8.661999999999999</v>
      </c>
      <c r="L81" s="226"/>
      <c r="M81" s="226"/>
      <c r="N81" s="226"/>
      <c r="O81" s="226"/>
      <c r="P81" s="226"/>
      <c r="Q81" s="226"/>
      <c r="R81" s="226"/>
      <c r="S81" s="226"/>
      <c r="T81" s="226"/>
    </row>
    <row r="82" spans="1:20" s="17" customFormat="1" ht="21.95" customHeight="1">
      <c r="A82" s="1382"/>
      <c r="B82" s="194" t="s">
        <v>159</v>
      </c>
      <c r="C82" s="650"/>
      <c r="D82" s="15"/>
      <c r="E82" s="15"/>
      <c r="F82" s="15"/>
      <c r="G82" s="15"/>
      <c r="H82" s="15">
        <v>0</v>
      </c>
      <c r="I82" s="639"/>
      <c r="J82" s="15"/>
      <c r="K82" s="640"/>
      <c r="L82" s="226"/>
      <c r="M82" s="226"/>
      <c r="N82" s="226"/>
      <c r="O82" s="226"/>
      <c r="P82" s="226"/>
      <c r="Q82" s="226"/>
      <c r="R82" s="226"/>
      <c r="S82" s="226"/>
      <c r="T82" s="226"/>
    </row>
    <row r="83" spans="1:20" s="17" customFormat="1" ht="21.95" customHeight="1">
      <c r="A83" s="1381" t="s">
        <v>144</v>
      </c>
      <c r="B83" s="194" t="s">
        <v>158</v>
      </c>
      <c r="C83" s="651">
        <v>18</v>
      </c>
      <c r="D83" s="15">
        <v>3</v>
      </c>
      <c r="E83" s="15">
        <v>3</v>
      </c>
      <c r="F83" s="15">
        <v>4</v>
      </c>
      <c r="G83" s="15"/>
      <c r="H83" s="15">
        <v>10</v>
      </c>
      <c r="I83" s="639">
        <v>20.88</v>
      </c>
      <c r="J83" s="15">
        <f>SUM(C83-H83)</f>
        <v>8</v>
      </c>
      <c r="K83" s="640">
        <v>11.806000000000001</v>
      </c>
      <c r="L83" s="226"/>
      <c r="M83" s="226"/>
      <c r="N83" s="226"/>
      <c r="O83" s="226"/>
      <c r="P83" s="226"/>
      <c r="Q83" s="226"/>
      <c r="R83" s="226"/>
      <c r="S83" s="226"/>
      <c r="T83" s="226"/>
    </row>
    <row r="84" spans="1:20" s="17" customFormat="1" ht="21.95" customHeight="1">
      <c r="A84" s="1382"/>
      <c r="B84" s="194" t="s">
        <v>159</v>
      </c>
      <c r="C84" s="650"/>
      <c r="D84" s="15"/>
      <c r="E84" s="15"/>
      <c r="F84" s="15"/>
      <c r="G84" s="15"/>
      <c r="H84" s="15">
        <v>0</v>
      </c>
      <c r="I84" s="639"/>
      <c r="J84" s="15"/>
      <c r="K84" s="640"/>
      <c r="L84" s="226"/>
      <c r="M84" s="226"/>
      <c r="N84" s="226"/>
      <c r="O84" s="226"/>
      <c r="P84" s="226"/>
      <c r="Q84" s="226"/>
      <c r="R84" s="226"/>
      <c r="S84" s="226"/>
      <c r="T84" s="226"/>
    </row>
    <row r="85" spans="1:20" s="17" customFormat="1" ht="21.95" customHeight="1">
      <c r="A85" s="1381" t="s">
        <v>145</v>
      </c>
      <c r="B85" s="194" t="s">
        <v>158</v>
      </c>
      <c r="C85" s="651">
        <v>29</v>
      </c>
      <c r="D85" s="15">
        <v>10</v>
      </c>
      <c r="E85" s="15">
        <v>4</v>
      </c>
      <c r="F85" s="15">
        <v>8</v>
      </c>
      <c r="G85" s="15">
        <v>5</v>
      </c>
      <c r="H85" s="15">
        <v>27</v>
      </c>
      <c r="I85" s="639">
        <v>40.091999999999999</v>
      </c>
      <c r="J85" s="15">
        <f>SUM(C85-H85)</f>
        <v>2</v>
      </c>
      <c r="K85" s="640">
        <v>2.5090000000000003</v>
      </c>
      <c r="L85" s="226"/>
      <c r="M85" s="226"/>
      <c r="N85" s="226"/>
      <c r="O85" s="226"/>
      <c r="P85" s="226"/>
      <c r="Q85" s="226"/>
      <c r="R85" s="226"/>
      <c r="S85" s="226"/>
      <c r="T85" s="226"/>
    </row>
    <row r="86" spans="1:20" s="17" customFormat="1" ht="21.95" customHeight="1">
      <c r="A86" s="1382"/>
      <c r="B86" s="194" t="s">
        <v>159</v>
      </c>
      <c r="C86" s="650"/>
      <c r="D86" s="15"/>
      <c r="E86" s="15"/>
      <c r="F86" s="15"/>
      <c r="G86" s="15"/>
      <c r="H86" s="15">
        <v>0</v>
      </c>
      <c r="I86" s="639"/>
      <c r="J86" s="15"/>
      <c r="K86" s="640"/>
      <c r="L86" s="226"/>
      <c r="M86" s="226"/>
      <c r="N86" s="226"/>
      <c r="O86" s="226"/>
      <c r="P86" s="226"/>
      <c r="Q86" s="226"/>
      <c r="R86" s="226"/>
      <c r="S86" s="226"/>
      <c r="T86" s="226"/>
    </row>
    <row r="87" spans="1:20" s="17" customFormat="1" ht="21.95" customHeight="1">
      <c r="A87" s="602" t="s">
        <v>146</v>
      </c>
      <c r="B87" s="194" t="s">
        <v>158</v>
      </c>
      <c r="C87" s="604">
        <v>53</v>
      </c>
      <c r="D87" s="15">
        <v>2</v>
      </c>
      <c r="E87" s="15">
        <v>1</v>
      </c>
      <c r="F87" s="15">
        <v>25</v>
      </c>
      <c r="G87" s="15">
        <v>17</v>
      </c>
      <c r="H87" s="15">
        <v>45</v>
      </c>
      <c r="I87" s="639">
        <v>42.936</v>
      </c>
      <c r="J87" s="15">
        <f>SUM(C87-H87)</f>
        <v>8</v>
      </c>
      <c r="K87" s="640">
        <v>6.3299999999999983</v>
      </c>
      <c r="L87" s="226"/>
      <c r="M87" s="226"/>
      <c r="N87" s="226"/>
      <c r="O87" s="226"/>
      <c r="P87" s="226"/>
      <c r="Q87" s="226"/>
      <c r="R87" s="226"/>
      <c r="S87" s="226"/>
      <c r="T87" s="226"/>
    </row>
    <row r="88" spans="1:20" s="17" customFormat="1" ht="21.95" customHeight="1">
      <c r="A88" s="1384" t="s">
        <v>893</v>
      </c>
      <c r="B88" s="1385"/>
      <c r="C88" s="402">
        <f t="shared" ref="C88:K88" si="9">SUM(C81:C87)</f>
        <v>123</v>
      </c>
      <c r="D88" s="402">
        <f t="shared" si="9"/>
        <v>30</v>
      </c>
      <c r="E88" s="402">
        <f t="shared" si="9"/>
        <v>11</v>
      </c>
      <c r="F88" s="402">
        <f t="shared" si="9"/>
        <v>37</v>
      </c>
      <c r="G88" s="402">
        <f t="shared" si="9"/>
        <v>22</v>
      </c>
      <c r="H88" s="402">
        <f t="shared" si="9"/>
        <v>100</v>
      </c>
      <c r="I88" s="641">
        <f t="shared" si="9"/>
        <v>149.12100000000001</v>
      </c>
      <c r="J88" s="402">
        <f t="shared" si="9"/>
        <v>23</v>
      </c>
      <c r="K88" s="642">
        <f t="shared" si="9"/>
        <v>29.306999999999999</v>
      </c>
      <c r="L88" s="226"/>
      <c r="M88" s="226"/>
      <c r="N88" s="226"/>
      <c r="O88" s="226"/>
      <c r="P88" s="226"/>
      <c r="Q88" s="226"/>
      <c r="R88" s="226"/>
      <c r="S88" s="226"/>
      <c r="T88" s="226"/>
    </row>
    <row r="89" spans="1:20" s="16" customFormat="1" ht="24.95" customHeight="1">
      <c r="A89" s="1396" t="s">
        <v>1300</v>
      </c>
      <c r="B89" s="1396"/>
      <c r="C89" s="1396"/>
      <c r="D89" s="1396"/>
      <c r="E89" s="1396"/>
      <c r="F89" s="1396"/>
      <c r="G89" s="1396"/>
      <c r="H89" s="1396"/>
      <c r="I89" s="1396"/>
      <c r="J89" s="1396"/>
      <c r="K89" s="1396"/>
      <c r="L89" s="225"/>
      <c r="M89" s="225"/>
      <c r="N89" s="225"/>
      <c r="O89" s="225"/>
      <c r="P89" s="225"/>
      <c r="Q89" s="225"/>
      <c r="R89" s="225"/>
      <c r="S89" s="225"/>
      <c r="T89" s="225"/>
    </row>
    <row r="90" spans="1:20" s="16" customFormat="1" ht="15" customHeight="1">
      <c r="A90" s="1391" t="s">
        <v>864</v>
      </c>
      <c r="B90" s="1386" t="s">
        <v>865</v>
      </c>
      <c r="C90" s="1386" t="s">
        <v>133</v>
      </c>
      <c r="D90" s="1392" t="str">
        <f>+$D$9</f>
        <v xml:space="preserve">Planned for next FY 2019-20 </v>
      </c>
      <c r="E90" s="1392"/>
      <c r="F90" s="1392"/>
      <c r="G90" s="1392"/>
      <c r="H90" s="1392"/>
      <c r="I90" s="1392"/>
      <c r="J90" s="1392"/>
      <c r="K90" s="1392"/>
      <c r="L90" s="225"/>
      <c r="M90" s="225"/>
      <c r="N90" s="225"/>
      <c r="O90" s="225"/>
      <c r="P90" s="225"/>
      <c r="Q90" s="225"/>
      <c r="R90" s="225"/>
      <c r="S90" s="225"/>
      <c r="T90" s="225"/>
    </row>
    <row r="91" spans="1:20" s="16" customFormat="1" ht="15" customHeight="1">
      <c r="A91" s="1391"/>
      <c r="B91" s="1386"/>
      <c r="C91" s="1386"/>
      <c r="D91" s="1395" t="s">
        <v>134</v>
      </c>
      <c r="E91" s="1395"/>
      <c r="F91" s="1395"/>
      <c r="G91" s="1395"/>
      <c r="H91" s="1395"/>
      <c r="I91" s="1395"/>
      <c r="J91" s="1395" t="s">
        <v>135</v>
      </c>
      <c r="K91" s="1392"/>
      <c r="L91" s="225"/>
      <c r="M91" s="225"/>
      <c r="N91" s="225"/>
      <c r="O91" s="225"/>
      <c r="P91" s="225"/>
      <c r="Q91" s="225"/>
      <c r="R91" s="225"/>
      <c r="S91" s="225"/>
      <c r="T91" s="225"/>
    </row>
    <row r="92" spans="1:20" s="16" customFormat="1" ht="15" customHeight="1">
      <c r="A92" s="1391"/>
      <c r="B92" s="1386"/>
      <c r="C92" s="1386"/>
      <c r="D92" s="1386" t="s">
        <v>136</v>
      </c>
      <c r="E92" s="1386"/>
      <c r="F92" s="1386" t="s">
        <v>137</v>
      </c>
      <c r="G92" s="1386"/>
      <c r="H92" s="1386" t="s">
        <v>138</v>
      </c>
      <c r="I92" s="1387" t="s">
        <v>866</v>
      </c>
      <c r="J92" s="1386" t="s">
        <v>139</v>
      </c>
      <c r="K92" s="1387" t="s">
        <v>866</v>
      </c>
      <c r="L92" s="225"/>
      <c r="M92" s="225"/>
      <c r="N92" s="225"/>
      <c r="O92" s="225"/>
      <c r="P92" s="225"/>
      <c r="Q92" s="225"/>
      <c r="R92" s="225"/>
      <c r="S92" s="225"/>
      <c r="T92" s="225"/>
    </row>
    <row r="93" spans="1:20" s="16" customFormat="1" ht="15" customHeight="1">
      <c r="A93" s="1391"/>
      <c r="B93" s="1386"/>
      <c r="C93" s="1386"/>
      <c r="D93" s="603" t="s">
        <v>140</v>
      </c>
      <c r="E93" s="603" t="s">
        <v>141</v>
      </c>
      <c r="F93" s="603" t="s">
        <v>140</v>
      </c>
      <c r="G93" s="603" t="s">
        <v>141</v>
      </c>
      <c r="H93" s="1386"/>
      <c r="I93" s="1387"/>
      <c r="J93" s="1386"/>
      <c r="K93" s="1387"/>
      <c r="L93" s="225"/>
      <c r="M93" s="225"/>
      <c r="N93" s="225"/>
      <c r="O93" s="225"/>
      <c r="P93" s="225"/>
      <c r="Q93" s="225"/>
      <c r="R93" s="225"/>
      <c r="S93" s="225"/>
      <c r="T93" s="225"/>
    </row>
    <row r="94" spans="1:20" s="16" customFormat="1" ht="21.95" customHeight="1">
      <c r="A94" s="1381" t="s">
        <v>143</v>
      </c>
      <c r="B94" s="194" t="s">
        <v>158</v>
      </c>
      <c r="C94" s="1383">
        <v>7</v>
      </c>
      <c r="D94" s="15">
        <v>7</v>
      </c>
      <c r="E94" s="15"/>
      <c r="F94" s="15"/>
      <c r="G94" s="15"/>
      <c r="H94" s="15">
        <f>SUM(D94:G94)</f>
        <v>7</v>
      </c>
      <c r="I94" s="639">
        <v>18.902999999999999</v>
      </c>
      <c r="J94" s="15">
        <f>SUM(C94-H94)</f>
        <v>0</v>
      </c>
      <c r="K94" s="640">
        <f>+K107</f>
        <v>0</v>
      </c>
      <c r="L94" s="225"/>
      <c r="M94" s="225"/>
      <c r="N94" s="225"/>
      <c r="O94" s="225"/>
      <c r="P94" s="225"/>
      <c r="Q94" s="225"/>
      <c r="R94" s="225"/>
      <c r="S94" s="225"/>
      <c r="T94" s="225"/>
    </row>
    <row r="95" spans="1:20" s="7" customFormat="1" ht="21.95" customHeight="1">
      <c r="A95" s="1382"/>
      <c r="B95" s="194" t="s">
        <v>159</v>
      </c>
      <c r="C95" s="1383"/>
      <c r="D95" s="15"/>
      <c r="E95" s="15"/>
      <c r="F95" s="15"/>
      <c r="G95" s="15"/>
      <c r="H95" s="15">
        <f>SUM(D95:G95)</f>
        <v>0</v>
      </c>
      <c r="I95" s="639"/>
      <c r="J95" s="15"/>
      <c r="K95" s="640"/>
      <c r="L95" s="18"/>
      <c r="M95" s="18"/>
      <c r="N95" s="18"/>
      <c r="O95" s="18"/>
      <c r="P95" s="18"/>
      <c r="Q95" s="18"/>
      <c r="R95" s="18"/>
      <c r="S95" s="18"/>
      <c r="T95" s="18"/>
    </row>
    <row r="96" spans="1:20" s="7" customFormat="1" ht="21.95" customHeight="1">
      <c r="A96" s="1381" t="s">
        <v>144</v>
      </c>
      <c r="B96" s="194" t="s">
        <v>158</v>
      </c>
      <c r="C96" s="1383">
        <v>14</v>
      </c>
      <c r="D96" s="15">
        <v>3</v>
      </c>
      <c r="E96" s="15">
        <v>2</v>
      </c>
      <c r="F96" s="15">
        <v>2</v>
      </c>
      <c r="G96" s="15"/>
      <c r="H96" s="15">
        <f t="shared" ref="H96:H100" si="10">SUM(D96:G96)</f>
        <v>7</v>
      </c>
      <c r="I96" s="639">
        <v>15.327999999999999</v>
      </c>
      <c r="J96" s="15">
        <f>SUM(C96-H96)</f>
        <v>7</v>
      </c>
      <c r="K96" s="640">
        <f>+K109</f>
        <v>14.729999999999999</v>
      </c>
      <c r="L96" s="18"/>
      <c r="M96" s="18"/>
      <c r="N96" s="18"/>
      <c r="O96" s="18"/>
      <c r="P96" s="18"/>
      <c r="Q96" s="18"/>
      <c r="R96" s="18"/>
      <c r="S96" s="18"/>
      <c r="T96" s="18"/>
    </row>
    <row r="97" spans="1:20" s="7" customFormat="1" ht="21.95" customHeight="1">
      <c r="A97" s="1382"/>
      <c r="B97" s="194" t="s">
        <v>159</v>
      </c>
      <c r="C97" s="1383"/>
      <c r="D97" s="15"/>
      <c r="E97" s="15"/>
      <c r="F97" s="15"/>
      <c r="G97" s="15"/>
      <c r="H97" s="15">
        <f t="shared" si="10"/>
        <v>0</v>
      </c>
      <c r="I97" s="639"/>
      <c r="J97" s="15"/>
      <c r="K97" s="640"/>
      <c r="L97" s="18"/>
      <c r="M97" s="18"/>
      <c r="N97" s="18"/>
      <c r="O97" s="18"/>
      <c r="P97" s="18"/>
      <c r="Q97" s="18"/>
      <c r="R97" s="18"/>
      <c r="S97" s="18"/>
      <c r="T97" s="18"/>
    </row>
    <row r="98" spans="1:20" s="7" customFormat="1" ht="21.95" customHeight="1">
      <c r="A98" s="1381" t="s">
        <v>145</v>
      </c>
      <c r="B98" s="194" t="s">
        <v>158</v>
      </c>
      <c r="C98" s="1383">
        <v>39</v>
      </c>
      <c r="D98" s="15">
        <v>22</v>
      </c>
      <c r="E98" s="15">
        <v>3</v>
      </c>
      <c r="F98" s="15">
        <v>12</v>
      </c>
      <c r="G98" s="15">
        <v>2</v>
      </c>
      <c r="H98" s="15">
        <f t="shared" si="10"/>
        <v>39</v>
      </c>
      <c r="I98" s="639">
        <v>65.58</v>
      </c>
      <c r="J98" s="15">
        <f>SUM(C98-H98)</f>
        <v>0</v>
      </c>
      <c r="K98" s="640">
        <f>+K111</f>
        <v>0</v>
      </c>
      <c r="L98" s="18"/>
      <c r="M98" s="18"/>
      <c r="N98" s="18"/>
      <c r="O98" s="18"/>
      <c r="P98" s="18"/>
      <c r="Q98" s="18"/>
      <c r="R98" s="18"/>
      <c r="S98" s="18"/>
      <c r="T98" s="18"/>
    </row>
    <row r="99" spans="1:20" s="7" customFormat="1" ht="21.95" customHeight="1">
      <c r="A99" s="1382"/>
      <c r="B99" s="194" t="s">
        <v>159</v>
      </c>
      <c r="C99" s="1383"/>
      <c r="D99" s="15"/>
      <c r="E99" s="15"/>
      <c r="F99" s="15"/>
      <c r="G99" s="15"/>
      <c r="H99" s="15">
        <f t="shared" si="10"/>
        <v>0</v>
      </c>
      <c r="I99" s="639"/>
      <c r="J99" s="15"/>
      <c r="K99" s="640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7" customFormat="1" ht="21.95" customHeight="1">
      <c r="A100" s="602" t="s">
        <v>146</v>
      </c>
      <c r="B100" s="194" t="s">
        <v>158</v>
      </c>
      <c r="C100" s="604">
        <v>26</v>
      </c>
      <c r="D100" s="15">
        <v>4</v>
      </c>
      <c r="E100" s="15"/>
      <c r="F100" s="15">
        <v>18</v>
      </c>
      <c r="G100" s="15">
        <v>4</v>
      </c>
      <c r="H100" s="15">
        <f t="shared" si="10"/>
        <v>26</v>
      </c>
      <c r="I100" s="639">
        <v>29.146000000000001</v>
      </c>
      <c r="J100" s="15">
        <f>SUM(C100-H100)</f>
        <v>0</v>
      </c>
      <c r="K100" s="640">
        <f>+K113</f>
        <v>0</v>
      </c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s="7" customFormat="1" ht="21.95" customHeight="1">
      <c r="A101" s="1384" t="s">
        <v>893</v>
      </c>
      <c r="B101" s="1385"/>
      <c r="C101" s="402">
        <f t="shared" ref="C101:K101" si="11">SUM(C94:C100)</f>
        <v>86</v>
      </c>
      <c r="D101" s="402">
        <f t="shared" si="11"/>
        <v>36</v>
      </c>
      <c r="E101" s="402">
        <f t="shared" si="11"/>
        <v>5</v>
      </c>
      <c r="F101" s="402">
        <f t="shared" si="11"/>
        <v>32</v>
      </c>
      <c r="G101" s="402">
        <f t="shared" si="11"/>
        <v>6</v>
      </c>
      <c r="H101" s="402">
        <f t="shared" si="11"/>
        <v>79</v>
      </c>
      <c r="I101" s="641">
        <f t="shared" si="11"/>
        <v>128.95699999999999</v>
      </c>
      <c r="J101" s="402">
        <f t="shared" si="11"/>
        <v>7</v>
      </c>
      <c r="K101" s="642">
        <f t="shared" si="11"/>
        <v>14.729999999999999</v>
      </c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s="7" customFormat="1" ht="12" customHeight="1">
      <c r="A102" s="1388"/>
      <c r="B102" s="1389"/>
      <c r="C102" s="1389"/>
      <c r="D102" s="1389"/>
      <c r="E102" s="1389"/>
      <c r="F102" s="1389"/>
      <c r="G102" s="1389"/>
      <c r="H102" s="1389"/>
      <c r="I102" s="1389"/>
      <c r="J102" s="1389"/>
      <c r="K102" s="1390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s="7" customFormat="1" ht="15" customHeight="1">
      <c r="A103" s="1391" t="s">
        <v>864</v>
      </c>
      <c r="B103" s="1386" t="s">
        <v>865</v>
      </c>
      <c r="C103" s="1386" t="s">
        <v>133</v>
      </c>
      <c r="D103" s="1392" t="str">
        <f>+$D$22</f>
        <v>Status during current year 2018-19</v>
      </c>
      <c r="E103" s="1392"/>
      <c r="F103" s="1392"/>
      <c r="G103" s="1392"/>
      <c r="H103" s="1392"/>
      <c r="I103" s="1392"/>
      <c r="J103" s="1392"/>
      <c r="K103" s="1392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s="7" customFormat="1" ht="15" customHeight="1">
      <c r="A104" s="1391"/>
      <c r="B104" s="1386"/>
      <c r="C104" s="1386"/>
      <c r="D104" s="1393" t="s">
        <v>134</v>
      </c>
      <c r="E104" s="1393"/>
      <c r="F104" s="1393"/>
      <c r="G104" s="1393"/>
      <c r="H104" s="1393"/>
      <c r="I104" s="1393"/>
      <c r="J104" s="1393" t="s">
        <v>135</v>
      </c>
      <c r="K104" s="1394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s="7" customFormat="1" ht="15" customHeight="1">
      <c r="A105" s="1391"/>
      <c r="B105" s="1386"/>
      <c r="C105" s="1386"/>
      <c r="D105" s="1386" t="s">
        <v>136</v>
      </c>
      <c r="E105" s="1386"/>
      <c r="F105" s="1386" t="s">
        <v>137</v>
      </c>
      <c r="G105" s="1386"/>
      <c r="H105" s="1386" t="s">
        <v>138</v>
      </c>
      <c r="I105" s="1387" t="s">
        <v>866</v>
      </c>
      <c r="J105" s="1386" t="s">
        <v>139</v>
      </c>
      <c r="K105" s="1387" t="s">
        <v>866</v>
      </c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1391"/>
      <c r="B106" s="1386"/>
      <c r="C106" s="1386"/>
      <c r="D106" s="603" t="s">
        <v>140</v>
      </c>
      <c r="E106" s="603" t="s">
        <v>141</v>
      </c>
      <c r="F106" s="603" t="s">
        <v>140</v>
      </c>
      <c r="G106" s="603" t="s">
        <v>141</v>
      </c>
      <c r="H106" s="1386"/>
      <c r="I106" s="1387"/>
      <c r="J106" s="1386"/>
      <c r="K106" s="1387"/>
    </row>
    <row r="107" spans="1:20" ht="24.95" customHeight="1">
      <c r="A107" s="1381" t="s">
        <v>143</v>
      </c>
      <c r="B107" s="194" t="s">
        <v>158</v>
      </c>
      <c r="C107" s="1383">
        <v>7</v>
      </c>
      <c r="D107" s="15">
        <v>7</v>
      </c>
      <c r="E107" s="15"/>
      <c r="F107" s="15"/>
      <c r="G107" s="15"/>
      <c r="H107" s="15">
        <f>SUM(D107:G107)</f>
        <v>7</v>
      </c>
      <c r="I107" s="639">
        <v>18.399000000000001</v>
      </c>
      <c r="J107" s="15">
        <f>SUM(C107-H107)</f>
        <v>0</v>
      </c>
      <c r="K107" s="640">
        <f>+M107-I107</f>
        <v>0</v>
      </c>
      <c r="M107" s="652">
        <f>+I107</f>
        <v>18.399000000000001</v>
      </c>
    </row>
    <row r="108" spans="1:20" ht="24.95" customHeight="1">
      <c r="A108" s="1382"/>
      <c r="B108" s="194" t="s">
        <v>159</v>
      </c>
      <c r="C108" s="1383"/>
      <c r="D108" s="15"/>
      <c r="E108" s="15"/>
      <c r="F108" s="15"/>
      <c r="G108" s="15"/>
      <c r="H108" s="15">
        <f>SUM(D108:G108)</f>
        <v>0</v>
      </c>
      <c r="I108" s="639"/>
      <c r="J108" s="15"/>
      <c r="K108" s="640"/>
    </row>
    <row r="109" spans="1:20" ht="24.95" customHeight="1">
      <c r="A109" s="1381" t="s">
        <v>144</v>
      </c>
      <c r="B109" s="194" t="s">
        <v>158</v>
      </c>
      <c r="C109" s="1383">
        <v>14</v>
      </c>
      <c r="D109" s="15">
        <v>3</v>
      </c>
      <c r="E109" s="15">
        <v>2</v>
      </c>
      <c r="F109" s="15">
        <v>2</v>
      </c>
      <c r="G109" s="15"/>
      <c r="H109" s="15">
        <f t="shared" ref="H109:H113" si="12">SUM(D109:G109)</f>
        <v>7</v>
      </c>
      <c r="I109" s="639">
        <v>14.874000000000001</v>
      </c>
      <c r="J109" s="15">
        <f>SUM(C109-H109)</f>
        <v>7</v>
      </c>
      <c r="K109" s="640">
        <f>+M109-I109</f>
        <v>14.729999999999999</v>
      </c>
      <c r="M109" s="10">
        <v>29.603999999999999</v>
      </c>
    </row>
    <row r="110" spans="1:20" ht="24.95" customHeight="1">
      <c r="A110" s="1382"/>
      <c r="B110" s="194" t="s">
        <v>159</v>
      </c>
      <c r="C110" s="1383"/>
      <c r="D110" s="15"/>
      <c r="E110" s="15"/>
      <c r="F110" s="15"/>
      <c r="G110" s="15"/>
      <c r="H110" s="15">
        <f t="shared" si="12"/>
        <v>0</v>
      </c>
      <c r="I110" s="639"/>
      <c r="J110" s="15"/>
      <c r="K110" s="640"/>
    </row>
    <row r="111" spans="1:20" ht="24.95" customHeight="1">
      <c r="A111" s="1381" t="s">
        <v>145</v>
      </c>
      <c r="B111" s="194" t="s">
        <v>158</v>
      </c>
      <c r="C111" s="1383">
        <v>39</v>
      </c>
      <c r="D111" s="15">
        <v>22</v>
      </c>
      <c r="E111" s="15">
        <v>3</v>
      </c>
      <c r="F111" s="15">
        <v>12</v>
      </c>
      <c r="G111" s="15">
        <v>2</v>
      </c>
      <c r="H111" s="15">
        <f t="shared" si="12"/>
        <v>39</v>
      </c>
      <c r="I111" s="639">
        <v>63.345999999999997</v>
      </c>
      <c r="J111" s="15">
        <f>SUM(C111-H111)</f>
        <v>0</v>
      </c>
      <c r="K111" s="640">
        <f>+M111-I111</f>
        <v>0</v>
      </c>
      <c r="M111" s="652">
        <f>+I111</f>
        <v>63.345999999999997</v>
      </c>
    </row>
    <row r="112" spans="1:20" ht="24.95" customHeight="1">
      <c r="A112" s="1382"/>
      <c r="B112" s="194" t="s">
        <v>159</v>
      </c>
      <c r="C112" s="1383"/>
      <c r="D112" s="15"/>
      <c r="E112" s="15"/>
      <c r="F112" s="15"/>
      <c r="G112" s="15"/>
      <c r="H112" s="15">
        <f t="shared" si="12"/>
        <v>0</v>
      </c>
      <c r="I112" s="639"/>
      <c r="J112" s="15"/>
      <c r="K112" s="640"/>
    </row>
    <row r="113" spans="1:13" s="1" customFormat="1" ht="24.95" customHeight="1">
      <c r="A113" s="602" t="s">
        <v>146</v>
      </c>
      <c r="B113" s="194" t="s">
        <v>158</v>
      </c>
      <c r="C113" s="604">
        <v>26</v>
      </c>
      <c r="D113" s="15">
        <v>4</v>
      </c>
      <c r="E113" s="15"/>
      <c r="F113" s="15">
        <v>18</v>
      </c>
      <c r="G113" s="15">
        <v>4</v>
      </c>
      <c r="H113" s="15">
        <f t="shared" si="12"/>
        <v>26</v>
      </c>
      <c r="I113" s="639">
        <v>28.059000000000001</v>
      </c>
      <c r="J113" s="15">
        <f>SUM(C113-H113)</f>
        <v>0</v>
      </c>
      <c r="K113" s="640">
        <f>+M113-I113</f>
        <v>0</v>
      </c>
      <c r="M113" s="634">
        <f>+I113</f>
        <v>28.059000000000001</v>
      </c>
    </row>
    <row r="114" spans="1:13" s="1" customFormat="1" ht="24.95" customHeight="1">
      <c r="A114" s="1384" t="s">
        <v>893</v>
      </c>
      <c r="B114" s="1385"/>
      <c r="C114" s="402">
        <f t="shared" ref="C114:K114" si="13">SUM(C107:C113)</f>
        <v>86</v>
      </c>
      <c r="D114" s="402">
        <f t="shared" si="13"/>
        <v>36</v>
      </c>
      <c r="E114" s="402">
        <f t="shared" si="13"/>
        <v>5</v>
      </c>
      <c r="F114" s="402">
        <f t="shared" si="13"/>
        <v>32</v>
      </c>
      <c r="G114" s="402">
        <f t="shared" si="13"/>
        <v>6</v>
      </c>
      <c r="H114" s="402">
        <f t="shared" si="13"/>
        <v>79</v>
      </c>
      <c r="I114" s="641">
        <f t="shared" si="13"/>
        <v>124.678</v>
      </c>
      <c r="J114" s="402">
        <f t="shared" si="13"/>
        <v>7</v>
      </c>
      <c r="K114" s="642">
        <f t="shared" si="13"/>
        <v>14.729999999999999</v>
      </c>
    </row>
    <row r="115" spans="1:13" s="1" customFormat="1" ht="12" customHeight="1">
      <c r="A115" s="1388"/>
      <c r="B115" s="1389"/>
      <c r="C115" s="1389"/>
      <c r="D115" s="1389"/>
      <c r="E115" s="1389"/>
      <c r="F115" s="1389"/>
      <c r="G115" s="1389"/>
      <c r="H115" s="1389"/>
      <c r="I115" s="1389"/>
      <c r="J115" s="1389"/>
      <c r="K115" s="1390"/>
    </row>
    <row r="116" spans="1:13" s="1" customFormat="1" ht="15" customHeight="1">
      <c r="A116" s="1391" t="s">
        <v>864</v>
      </c>
      <c r="B116" s="1386" t="s">
        <v>865</v>
      </c>
      <c r="C116" s="1386" t="s">
        <v>133</v>
      </c>
      <c r="D116" s="1392" t="str">
        <f>+$D$35</f>
        <v>Status during last FY 2017-18</v>
      </c>
      <c r="E116" s="1392"/>
      <c r="F116" s="1392"/>
      <c r="G116" s="1392"/>
      <c r="H116" s="1392"/>
      <c r="I116" s="1392"/>
      <c r="J116" s="1392"/>
      <c r="K116" s="1392"/>
    </row>
    <row r="117" spans="1:13" s="1" customFormat="1" ht="15" customHeight="1">
      <c r="A117" s="1391"/>
      <c r="B117" s="1386"/>
      <c r="C117" s="1386"/>
      <c r="D117" s="1393" t="s">
        <v>134</v>
      </c>
      <c r="E117" s="1393"/>
      <c r="F117" s="1393"/>
      <c r="G117" s="1393"/>
      <c r="H117" s="1393"/>
      <c r="I117" s="1393"/>
      <c r="J117" s="1393" t="s">
        <v>135</v>
      </c>
      <c r="K117" s="1394"/>
    </row>
    <row r="118" spans="1:13" s="1" customFormat="1" ht="15" customHeight="1">
      <c r="A118" s="1391"/>
      <c r="B118" s="1386"/>
      <c r="C118" s="1386"/>
      <c r="D118" s="1386" t="s">
        <v>136</v>
      </c>
      <c r="E118" s="1386"/>
      <c r="F118" s="1386" t="s">
        <v>137</v>
      </c>
      <c r="G118" s="1386"/>
      <c r="H118" s="1386" t="s">
        <v>138</v>
      </c>
      <c r="I118" s="1387" t="s">
        <v>866</v>
      </c>
      <c r="J118" s="1386" t="s">
        <v>139</v>
      </c>
      <c r="K118" s="1387" t="s">
        <v>866</v>
      </c>
    </row>
    <row r="119" spans="1:13" s="1" customFormat="1" ht="15" customHeight="1">
      <c r="A119" s="1391"/>
      <c r="B119" s="1386"/>
      <c r="C119" s="1386"/>
      <c r="D119" s="603" t="s">
        <v>140</v>
      </c>
      <c r="E119" s="603" t="s">
        <v>141</v>
      </c>
      <c r="F119" s="603" t="s">
        <v>140</v>
      </c>
      <c r="G119" s="603" t="s">
        <v>141</v>
      </c>
      <c r="H119" s="1386"/>
      <c r="I119" s="1387"/>
      <c r="J119" s="1386"/>
      <c r="K119" s="1387"/>
    </row>
    <row r="120" spans="1:13" s="1" customFormat="1" ht="21.95" customHeight="1">
      <c r="A120" s="1381" t="s">
        <v>143</v>
      </c>
      <c r="B120" s="194" t="s">
        <v>158</v>
      </c>
      <c r="C120" s="649">
        <v>7</v>
      </c>
      <c r="D120" s="15">
        <v>7</v>
      </c>
      <c r="E120" s="15"/>
      <c r="F120" s="15"/>
      <c r="G120" s="15"/>
      <c r="H120" s="15">
        <v>7</v>
      </c>
      <c r="I120" s="639">
        <v>17.181000000000001</v>
      </c>
      <c r="J120" s="15">
        <f>SUM(C120-H120)</f>
        <v>0</v>
      </c>
      <c r="K120" s="644"/>
    </row>
    <row r="121" spans="1:13" s="1" customFormat="1" ht="21.95" customHeight="1">
      <c r="A121" s="1382"/>
      <c r="B121" s="194" t="s">
        <v>159</v>
      </c>
      <c r="C121" s="650"/>
      <c r="D121" s="15"/>
      <c r="E121" s="15"/>
      <c r="F121" s="15"/>
      <c r="G121" s="15"/>
      <c r="H121" s="15">
        <v>0</v>
      </c>
      <c r="I121" s="639"/>
      <c r="J121" s="15"/>
      <c r="K121" s="644"/>
    </row>
    <row r="122" spans="1:13" s="1" customFormat="1" ht="21.95" customHeight="1">
      <c r="A122" s="1381" t="s">
        <v>144</v>
      </c>
      <c r="B122" s="194" t="s">
        <v>158</v>
      </c>
      <c r="C122" s="651">
        <v>16</v>
      </c>
      <c r="D122" s="15">
        <v>4</v>
      </c>
      <c r="E122" s="15">
        <v>2</v>
      </c>
      <c r="F122" s="15">
        <v>2</v>
      </c>
      <c r="G122" s="15"/>
      <c r="H122" s="15">
        <v>8</v>
      </c>
      <c r="I122" s="639">
        <v>16.41</v>
      </c>
      <c r="J122" s="15">
        <f>SUM(C122-H122)</f>
        <v>8</v>
      </c>
      <c r="K122" s="644">
        <v>11.873000000000001</v>
      </c>
    </row>
    <row r="123" spans="1:13" s="1" customFormat="1" ht="21.95" customHeight="1">
      <c r="A123" s="1382"/>
      <c r="B123" s="194" t="s">
        <v>159</v>
      </c>
      <c r="C123" s="650"/>
      <c r="D123" s="15"/>
      <c r="E123" s="15"/>
      <c r="F123" s="15"/>
      <c r="G123" s="15"/>
      <c r="H123" s="15">
        <v>0</v>
      </c>
      <c r="I123" s="639"/>
      <c r="J123" s="15"/>
      <c r="K123" s="644"/>
    </row>
    <row r="124" spans="1:13" s="1" customFormat="1" ht="21.95" customHeight="1">
      <c r="A124" s="1381" t="s">
        <v>145</v>
      </c>
      <c r="B124" s="194" t="s">
        <v>158</v>
      </c>
      <c r="C124" s="651">
        <v>37</v>
      </c>
      <c r="D124" s="15">
        <v>21</v>
      </c>
      <c r="E124" s="15">
        <v>2</v>
      </c>
      <c r="F124" s="15">
        <v>12</v>
      </c>
      <c r="G124" s="15">
        <v>2</v>
      </c>
      <c r="H124" s="15">
        <v>37</v>
      </c>
      <c r="I124" s="639">
        <v>54.893000000000001</v>
      </c>
      <c r="J124" s="15">
        <f>SUM(C124-H124)</f>
        <v>0</v>
      </c>
      <c r="K124" s="644"/>
    </row>
    <row r="125" spans="1:13" s="1" customFormat="1" ht="21.95" customHeight="1">
      <c r="A125" s="1382"/>
      <c r="B125" s="194" t="s">
        <v>159</v>
      </c>
      <c r="C125" s="650"/>
      <c r="D125" s="15"/>
      <c r="E125" s="15"/>
      <c r="F125" s="15"/>
      <c r="G125" s="15"/>
      <c r="H125" s="15">
        <v>0</v>
      </c>
      <c r="I125" s="639"/>
      <c r="J125" s="15"/>
      <c r="K125" s="644"/>
    </row>
    <row r="126" spans="1:13" s="1" customFormat="1" ht="21.95" customHeight="1">
      <c r="A126" s="602" t="s">
        <v>146</v>
      </c>
      <c r="B126" s="194" t="s">
        <v>158</v>
      </c>
      <c r="C126" s="604">
        <v>26</v>
      </c>
      <c r="D126" s="15">
        <v>2</v>
      </c>
      <c r="E126" s="15"/>
      <c r="F126" s="15">
        <v>20</v>
      </c>
      <c r="G126" s="15">
        <v>4</v>
      </c>
      <c r="H126" s="15">
        <v>26</v>
      </c>
      <c r="I126" s="639">
        <v>25.469000000000001</v>
      </c>
      <c r="J126" s="15">
        <f>SUM(C126-H126)</f>
        <v>0</v>
      </c>
      <c r="K126" s="644"/>
    </row>
    <row r="127" spans="1:13" s="1" customFormat="1" ht="21.95" customHeight="1">
      <c r="A127" s="1384" t="s">
        <v>893</v>
      </c>
      <c r="B127" s="1385"/>
      <c r="C127" s="402">
        <f t="shared" ref="C127:K127" si="14">SUM(C120:C126)</f>
        <v>86</v>
      </c>
      <c r="D127" s="402">
        <f t="shared" si="14"/>
        <v>34</v>
      </c>
      <c r="E127" s="402">
        <f t="shared" si="14"/>
        <v>4</v>
      </c>
      <c r="F127" s="402">
        <f t="shared" si="14"/>
        <v>34</v>
      </c>
      <c r="G127" s="402">
        <f t="shared" si="14"/>
        <v>6</v>
      </c>
      <c r="H127" s="402">
        <f t="shared" si="14"/>
        <v>78</v>
      </c>
      <c r="I127" s="641">
        <f t="shared" si="14"/>
        <v>113.953</v>
      </c>
      <c r="J127" s="402">
        <f t="shared" si="14"/>
        <v>8</v>
      </c>
      <c r="K127" s="642">
        <f t="shared" si="14"/>
        <v>11.873000000000001</v>
      </c>
    </row>
    <row r="128" spans="1:13" s="1" customFormat="1" ht="24.95" customHeight="1">
      <c r="A128" s="1396" t="s">
        <v>1301</v>
      </c>
      <c r="B128" s="1396"/>
      <c r="C128" s="1396"/>
      <c r="D128" s="1396"/>
      <c r="E128" s="1396"/>
      <c r="F128" s="1396"/>
      <c r="G128" s="1396"/>
      <c r="H128" s="1396"/>
      <c r="I128" s="1396"/>
      <c r="J128" s="1396"/>
      <c r="K128" s="1396"/>
    </row>
    <row r="129" spans="1:13" s="1" customFormat="1" ht="15" customHeight="1">
      <c r="A129" s="1391" t="s">
        <v>864</v>
      </c>
      <c r="B129" s="1386" t="s">
        <v>865</v>
      </c>
      <c r="C129" s="1386" t="s">
        <v>133</v>
      </c>
      <c r="D129" s="1392" t="str">
        <f>+$D$9</f>
        <v xml:space="preserve">Planned for next FY 2019-20 </v>
      </c>
      <c r="E129" s="1392"/>
      <c r="F129" s="1392"/>
      <c r="G129" s="1392"/>
      <c r="H129" s="1392"/>
      <c r="I129" s="1392"/>
      <c r="J129" s="1392"/>
      <c r="K129" s="1392"/>
      <c r="L129" s="10"/>
      <c r="M129" s="10"/>
    </row>
    <row r="130" spans="1:13" s="1" customFormat="1" ht="15" customHeight="1">
      <c r="A130" s="1391"/>
      <c r="B130" s="1386"/>
      <c r="C130" s="1386"/>
      <c r="D130" s="1395" t="s">
        <v>134</v>
      </c>
      <c r="E130" s="1395"/>
      <c r="F130" s="1395"/>
      <c r="G130" s="1395"/>
      <c r="H130" s="1395"/>
      <c r="I130" s="1395"/>
      <c r="J130" s="1395" t="s">
        <v>135</v>
      </c>
      <c r="K130" s="1392"/>
      <c r="L130" s="10"/>
      <c r="M130" s="10"/>
    </row>
    <row r="131" spans="1:13" s="1" customFormat="1" ht="15" customHeight="1">
      <c r="A131" s="1391"/>
      <c r="B131" s="1386"/>
      <c r="C131" s="1386"/>
      <c r="D131" s="1386" t="s">
        <v>136</v>
      </c>
      <c r="E131" s="1386"/>
      <c r="F131" s="1386" t="s">
        <v>137</v>
      </c>
      <c r="G131" s="1386"/>
      <c r="H131" s="1386" t="s">
        <v>138</v>
      </c>
      <c r="I131" s="1387" t="s">
        <v>866</v>
      </c>
      <c r="J131" s="1386" t="s">
        <v>139</v>
      </c>
      <c r="K131" s="1387" t="s">
        <v>866</v>
      </c>
      <c r="L131" s="10"/>
      <c r="M131" s="10"/>
    </row>
    <row r="132" spans="1:13" s="1" customFormat="1" ht="15" customHeight="1">
      <c r="A132" s="1391"/>
      <c r="B132" s="1386"/>
      <c r="C132" s="1386"/>
      <c r="D132" s="603" t="s">
        <v>140</v>
      </c>
      <c r="E132" s="603" t="s">
        <v>141</v>
      </c>
      <c r="F132" s="603" t="s">
        <v>140</v>
      </c>
      <c r="G132" s="603" t="s">
        <v>141</v>
      </c>
      <c r="H132" s="1386"/>
      <c r="I132" s="1387"/>
      <c r="J132" s="1386"/>
      <c r="K132" s="1387"/>
      <c r="L132" s="10"/>
      <c r="M132" s="10"/>
    </row>
    <row r="133" spans="1:13" s="1" customFormat="1" ht="21.95" customHeight="1">
      <c r="A133" s="1381" t="s">
        <v>143</v>
      </c>
      <c r="B133" s="194" t="s">
        <v>158</v>
      </c>
      <c r="C133" s="1383">
        <v>12</v>
      </c>
      <c r="D133" s="15">
        <v>6</v>
      </c>
      <c r="E133" s="15">
        <v>2</v>
      </c>
      <c r="F133" s="15"/>
      <c r="G133" s="15"/>
      <c r="H133" s="15">
        <f>SUM(D133:G133)</f>
        <v>8</v>
      </c>
      <c r="I133" s="639">
        <v>21.981000000000002</v>
      </c>
      <c r="J133" s="15">
        <f>SUM(C133-H133)</f>
        <v>4</v>
      </c>
      <c r="K133" s="640">
        <f>+K146</f>
        <v>6.8789999999999978</v>
      </c>
      <c r="L133" s="10"/>
      <c r="M133" s="10"/>
    </row>
    <row r="134" spans="1:13" s="1" customFormat="1" ht="21.95" customHeight="1">
      <c r="A134" s="1382"/>
      <c r="B134" s="194" t="s">
        <v>159</v>
      </c>
      <c r="C134" s="1383"/>
      <c r="D134" s="15"/>
      <c r="E134" s="15"/>
      <c r="F134" s="15"/>
      <c r="G134" s="15"/>
      <c r="H134" s="15">
        <f>SUM(D134:G134)</f>
        <v>0</v>
      </c>
      <c r="I134" s="639"/>
      <c r="J134" s="15"/>
      <c r="K134" s="640"/>
      <c r="L134" s="10"/>
      <c r="M134" s="10"/>
    </row>
    <row r="135" spans="1:13" s="1" customFormat="1" ht="21.95" customHeight="1">
      <c r="A135" s="1381" t="s">
        <v>144</v>
      </c>
      <c r="B135" s="194" t="s">
        <v>158</v>
      </c>
      <c r="C135" s="1383">
        <v>7</v>
      </c>
      <c r="D135" s="15">
        <v>3</v>
      </c>
      <c r="E135" s="15">
        <v>1</v>
      </c>
      <c r="F135" s="15"/>
      <c r="G135" s="15"/>
      <c r="H135" s="15">
        <f t="shared" ref="H135:H139" si="15">SUM(D135:G135)</f>
        <v>4</v>
      </c>
      <c r="I135" s="639">
        <v>7.8860000000000001</v>
      </c>
      <c r="J135" s="15">
        <f>SUM(C135-H135)</f>
        <v>3</v>
      </c>
      <c r="K135" s="640">
        <f>+K148</f>
        <v>4.8689999999999989</v>
      </c>
      <c r="L135" s="10"/>
      <c r="M135" s="10"/>
    </row>
    <row r="136" spans="1:13" s="1" customFormat="1" ht="21.95" customHeight="1">
      <c r="A136" s="1382"/>
      <c r="B136" s="194" t="s">
        <v>159</v>
      </c>
      <c r="C136" s="1383"/>
      <c r="D136" s="15"/>
      <c r="E136" s="15"/>
      <c r="F136" s="15"/>
      <c r="G136" s="15"/>
      <c r="H136" s="15">
        <f t="shared" si="15"/>
        <v>0</v>
      </c>
      <c r="I136" s="639"/>
      <c r="J136" s="15"/>
      <c r="K136" s="640"/>
      <c r="L136" s="10"/>
      <c r="M136" s="10"/>
    </row>
    <row r="137" spans="1:13" s="1" customFormat="1" ht="21.95" customHeight="1">
      <c r="A137" s="1381" t="s">
        <v>145</v>
      </c>
      <c r="B137" s="194" t="s">
        <v>158</v>
      </c>
      <c r="C137" s="1383">
        <v>6</v>
      </c>
      <c r="D137" s="15">
        <v>4</v>
      </c>
      <c r="E137" s="15"/>
      <c r="F137" s="15">
        <v>1</v>
      </c>
      <c r="G137" s="15">
        <v>1</v>
      </c>
      <c r="H137" s="15">
        <f t="shared" si="15"/>
        <v>6</v>
      </c>
      <c r="I137" s="639">
        <v>10.273999999999999</v>
      </c>
      <c r="J137" s="15">
        <f>SUM(C137-H137)</f>
        <v>0</v>
      </c>
      <c r="K137" s="640"/>
      <c r="L137" s="10"/>
      <c r="M137" s="10"/>
    </row>
    <row r="138" spans="1:13" s="1" customFormat="1" ht="21.95" customHeight="1">
      <c r="A138" s="1382"/>
      <c r="B138" s="194" t="s">
        <v>159</v>
      </c>
      <c r="C138" s="1383"/>
      <c r="D138" s="15"/>
      <c r="E138" s="15"/>
      <c r="F138" s="15"/>
      <c r="G138" s="15"/>
      <c r="H138" s="15">
        <f t="shared" si="15"/>
        <v>0</v>
      </c>
      <c r="I138" s="639"/>
      <c r="J138" s="15"/>
      <c r="K138" s="640"/>
      <c r="L138" s="10"/>
      <c r="M138" s="10"/>
    </row>
    <row r="139" spans="1:13" s="1" customFormat="1" ht="21.95" customHeight="1">
      <c r="A139" s="602" t="s">
        <v>146</v>
      </c>
      <c r="B139" s="194" t="s">
        <v>158</v>
      </c>
      <c r="C139" s="604">
        <v>12</v>
      </c>
      <c r="D139" s="15">
        <v>4</v>
      </c>
      <c r="E139" s="15">
        <v>1</v>
      </c>
      <c r="F139" s="15">
        <v>5</v>
      </c>
      <c r="G139" s="15"/>
      <c r="H139" s="15">
        <f t="shared" si="15"/>
        <v>10</v>
      </c>
      <c r="I139" s="639">
        <v>11.323</v>
      </c>
      <c r="J139" s="15">
        <f>SUM(C139-H139)</f>
        <v>2</v>
      </c>
      <c r="K139" s="640">
        <f>+K152</f>
        <v>1.8040000000000003</v>
      </c>
      <c r="L139" s="10"/>
      <c r="M139" s="10"/>
    </row>
    <row r="140" spans="1:13" s="1" customFormat="1" ht="21.95" customHeight="1">
      <c r="A140" s="1384" t="s">
        <v>893</v>
      </c>
      <c r="B140" s="1385"/>
      <c r="C140" s="402">
        <f t="shared" ref="C140:K140" si="16">SUM(C133:C139)</f>
        <v>37</v>
      </c>
      <c r="D140" s="402">
        <f t="shared" si="16"/>
        <v>17</v>
      </c>
      <c r="E140" s="402">
        <f t="shared" si="16"/>
        <v>4</v>
      </c>
      <c r="F140" s="402">
        <f t="shared" si="16"/>
        <v>6</v>
      </c>
      <c r="G140" s="402">
        <f t="shared" si="16"/>
        <v>1</v>
      </c>
      <c r="H140" s="402">
        <f t="shared" si="16"/>
        <v>28</v>
      </c>
      <c r="I140" s="641">
        <f t="shared" si="16"/>
        <v>51.463999999999999</v>
      </c>
      <c r="J140" s="402">
        <f t="shared" si="16"/>
        <v>9</v>
      </c>
      <c r="K140" s="642">
        <f t="shared" si="16"/>
        <v>13.551999999999998</v>
      </c>
      <c r="L140" s="10"/>
      <c r="M140" s="10"/>
    </row>
    <row r="141" spans="1:13" s="1" customFormat="1" ht="12" customHeight="1">
      <c r="A141" s="1388"/>
      <c r="B141" s="1389"/>
      <c r="C141" s="1389"/>
      <c r="D141" s="1389"/>
      <c r="E141" s="1389"/>
      <c r="F141" s="1389"/>
      <c r="G141" s="1389"/>
      <c r="H141" s="1389"/>
      <c r="I141" s="1389"/>
      <c r="J141" s="1389"/>
      <c r="K141" s="1390"/>
      <c r="L141" s="10"/>
      <c r="M141" s="10"/>
    </row>
    <row r="142" spans="1:13" s="1" customFormat="1" ht="15" customHeight="1">
      <c r="A142" s="1391" t="s">
        <v>864</v>
      </c>
      <c r="B142" s="1386" t="s">
        <v>865</v>
      </c>
      <c r="C142" s="1386" t="s">
        <v>133</v>
      </c>
      <c r="D142" s="1392" t="str">
        <f>+$D$22</f>
        <v>Status during current year 2018-19</v>
      </c>
      <c r="E142" s="1392"/>
      <c r="F142" s="1392"/>
      <c r="G142" s="1392"/>
      <c r="H142" s="1392"/>
      <c r="I142" s="1392"/>
      <c r="J142" s="1392"/>
      <c r="K142" s="1392"/>
      <c r="L142" s="10"/>
      <c r="M142" s="10"/>
    </row>
    <row r="143" spans="1:13" s="1" customFormat="1" ht="15" customHeight="1">
      <c r="A143" s="1391"/>
      <c r="B143" s="1386"/>
      <c r="C143" s="1386"/>
      <c r="D143" s="1393" t="s">
        <v>134</v>
      </c>
      <c r="E143" s="1393"/>
      <c r="F143" s="1393"/>
      <c r="G143" s="1393"/>
      <c r="H143" s="1393"/>
      <c r="I143" s="1393"/>
      <c r="J143" s="1393" t="s">
        <v>135</v>
      </c>
      <c r="K143" s="1394"/>
      <c r="L143" s="10"/>
      <c r="M143" s="10"/>
    </row>
    <row r="144" spans="1:13" s="1" customFormat="1" ht="15" customHeight="1">
      <c r="A144" s="1391"/>
      <c r="B144" s="1386"/>
      <c r="C144" s="1386"/>
      <c r="D144" s="1386" t="s">
        <v>136</v>
      </c>
      <c r="E144" s="1386"/>
      <c r="F144" s="1386" t="s">
        <v>137</v>
      </c>
      <c r="G144" s="1386"/>
      <c r="H144" s="1386" t="s">
        <v>138</v>
      </c>
      <c r="I144" s="1387" t="s">
        <v>866</v>
      </c>
      <c r="J144" s="1386" t="s">
        <v>139</v>
      </c>
      <c r="K144" s="1387" t="s">
        <v>866</v>
      </c>
      <c r="L144" s="10"/>
      <c r="M144" s="10"/>
    </row>
    <row r="145" spans="1:13" s="1" customFormat="1" ht="15" customHeight="1">
      <c r="A145" s="1391"/>
      <c r="B145" s="1386"/>
      <c r="C145" s="1386"/>
      <c r="D145" s="603" t="s">
        <v>140</v>
      </c>
      <c r="E145" s="603" t="s">
        <v>141</v>
      </c>
      <c r="F145" s="603" t="s">
        <v>140</v>
      </c>
      <c r="G145" s="603" t="s">
        <v>141</v>
      </c>
      <c r="H145" s="1386"/>
      <c r="I145" s="1387"/>
      <c r="J145" s="1386"/>
      <c r="K145" s="1387"/>
    </row>
    <row r="146" spans="1:13" s="1" customFormat="1" ht="21.95" customHeight="1">
      <c r="A146" s="1381" t="s">
        <v>143</v>
      </c>
      <c r="B146" s="194" t="s">
        <v>158</v>
      </c>
      <c r="C146" s="1383">
        <v>12</v>
      </c>
      <c r="D146" s="15">
        <v>6</v>
      </c>
      <c r="E146" s="15">
        <v>2</v>
      </c>
      <c r="F146" s="15"/>
      <c r="G146" s="15"/>
      <c r="H146" s="15">
        <f>SUM(D146:G146)</f>
        <v>8</v>
      </c>
      <c r="I146" s="639">
        <v>21.405000000000001</v>
      </c>
      <c r="J146" s="15">
        <f>SUM(C146-H146)</f>
        <v>4</v>
      </c>
      <c r="K146" s="640">
        <f>+M146-I146</f>
        <v>6.8789999999999978</v>
      </c>
      <c r="M146" s="1">
        <v>28.283999999999999</v>
      </c>
    </row>
    <row r="147" spans="1:13" s="1" customFormat="1" ht="21.95" customHeight="1">
      <c r="A147" s="1382"/>
      <c r="B147" s="194" t="s">
        <v>159</v>
      </c>
      <c r="C147" s="1383"/>
      <c r="D147" s="15"/>
      <c r="E147" s="15"/>
      <c r="F147" s="15"/>
      <c r="G147" s="15"/>
      <c r="H147" s="15">
        <f>SUM(D147:G147)</f>
        <v>0</v>
      </c>
      <c r="I147" s="639"/>
      <c r="J147" s="15"/>
      <c r="K147" s="640"/>
    </row>
    <row r="148" spans="1:13" s="1" customFormat="1" ht="21.95" customHeight="1">
      <c r="A148" s="1381" t="s">
        <v>144</v>
      </c>
      <c r="B148" s="194" t="s">
        <v>158</v>
      </c>
      <c r="C148" s="1383">
        <v>7</v>
      </c>
      <c r="D148" s="15">
        <v>3</v>
      </c>
      <c r="E148" s="15">
        <v>1</v>
      </c>
      <c r="F148" s="15"/>
      <c r="G148" s="15"/>
      <c r="H148" s="15">
        <f t="shared" ref="H148:H152" si="17">SUM(D148:G148)</f>
        <v>4</v>
      </c>
      <c r="I148" s="639">
        <v>7.6260000000000003</v>
      </c>
      <c r="J148" s="15">
        <f>SUM(C148-H148)</f>
        <v>3</v>
      </c>
      <c r="K148" s="640">
        <f>+M148-I148</f>
        <v>4.8689999999999989</v>
      </c>
      <c r="M148" s="1">
        <v>12.494999999999999</v>
      </c>
    </row>
    <row r="149" spans="1:13" s="1" customFormat="1" ht="21.95" customHeight="1">
      <c r="A149" s="1382"/>
      <c r="B149" s="194" t="s">
        <v>159</v>
      </c>
      <c r="C149" s="1383"/>
      <c r="D149" s="15"/>
      <c r="E149" s="15"/>
      <c r="F149" s="15"/>
      <c r="G149" s="15"/>
      <c r="H149" s="15">
        <f t="shared" si="17"/>
        <v>0</v>
      </c>
      <c r="I149" s="639"/>
      <c r="J149" s="15"/>
      <c r="K149" s="640"/>
    </row>
    <row r="150" spans="1:13" s="1" customFormat="1" ht="21.95" customHeight="1">
      <c r="A150" s="1381" t="s">
        <v>145</v>
      </c>
      <c r="B150" s="194" t="s">
        <v>158</v>
      </c>
      <c r="C150" s="1383">
        <v>6</v>
      </c>
      <c r="D150" s="15">
        <v>4</v>
      </c>
      <c r="E150" s="15"/>
      <c r="F150" s="15">
        <v>1</v>
      </c>
      <c r="G150" s="15">
        <v>1</v>
      </c>
      <c r="H150" s="15">
        <f t="shared" si="17"/>
        <v>6</v>
      </c>
      <c r="I150" s="639">
        <v>10.010999999999999</v>
      </c>
      <c r="J150" s="15">
        <f>SUM(C150-H150)</f>
        <v>0</v>
      </c>
      <c r="K150" s="640">
        <f>+M150-I150</f>
        <v>0</v>
      </c>
      <c r="M150" s="1">
        <v>10.010999999999999</v>
      </c>
    </row>
    <row r="151" spans="1:13" s="1" customFormat="1" ht="21.95" customHeight="1">
      <c r="A151" s="1382"/>
      <c r="B151" s="194" t="s">
        <v>159</v>
      </c>
      <c r="C151" s="1383"/>
      <c r="D151" s="15"/>
      <c r="E151" s="15"/>
      <c r="F151" s="15"/>
      <c r="G151" s="15"/>
      <c r="H151" s="15">
        <f t="shared" si="17"/>
        <v>0</v>
      </c>
      <c r="I151" s="639"/>
      <c r="J151" s="15"/>
      <c r="K151" s="640"/>
    </row>
    <row r="152" spans="1:13" s="1" customFormat="1" ht="21.95" customHeight="1">
      <c r="A152" s="602" t="s">
        <v>146</v>
      </c>
      <c r="B152" s="194" t="s">
        <v>158</v>
      </c>
      <c r="C152" s="604">
        <v>12</v>
      </c>
      <c r="D152" s="15">
        <v>4</v>
      </c>
      <c r="E152" s="15">
        <v>1</v>
      </c>
      <c r="F152" s="15">
        <v>5</v>
      </c>
      <c r="G152" s="15"/>
      <c r="H152" s="15">
        <f t="shared" si="17"/>
        <v>10</v>
      </c>
      <c r="I152" s="639">
        <v>10.91</v>
      </c>
      <c r="J152" s="15">
        <f>SUM(C152-H152)</f>
        <v>2</v>
      </c>
      <c r="K152" s="640">
        <f>+M152-I152</f>
        <v>1.8040000000000003</v>
      </c>
      <c r="M152" s="1">
        <v>12.714</v>
      </c>
    </row>
    <row r="153" spans="1:13" s="1" customFormat="1" ht="21.95" customHeight="1">
      <c r="A153" s="1384" t="s">
        <v>893</v>
      </c>
      <c r="B153" s="1385"/>
      <c r="C153" s="402">
        <f t="shared" ref="C153:K153" si="18">SUM(C146:C152)</f>
        <v>37</v>
      </c>
      <c r="D153" s="402">
        <f t="shared" si="18"/>
        <v>17</v>
      </c>
      <c r="E153" s="402">
        <f t="shared" si="18"/>
        <v>4</v>
      </c>
      <c r="F153" s="402">
        <f t="shared" si="18"/>
        <v>6</v>
      </c>
      <c r="G153" s="402">
        <f t="shared" si="18"/>
        <v>1</v>
      </c>
      <c r="H153" s="402">
        <f t="shared" si="18"/>
        <v>28</v>
      </c>
      <c r="I153" s="641">
        <f t="shared" si="18"/>
        <v>49.951999999999998</v>
      </c>
      <c r="J153" s="402">
        <f t="shared" si="18"/>
        <v>9</v>
      </c>
      <c r="K153" s="642">
        <f t="shared" si="18"/>
        <v>13.551999999999998</v>
      </c>
    </row>
    <row r="154" spans="1:13" s="1" customFormat="1" ht="12" customHeight="1">
      <c r="A154" s="1388"/>
      <c r="B154" s="1389"/>
      <c r="C154" s="1389"/>
      <c r="D154" s="1389"/>
      <c r="E154" s="1389"/>
      <c r="F154" s="1389"/>
      <c r="G154" s="1389"/>
      <c r="H154" s="1389"/>
      <c r="I154" s="1389"/>
      <c r="J154" s="1389"/>
      <c r="K154" s="1390"/>
    </row>
    <row r="155" spans="1:13" s="1" customFormat="1" ht="15" customHeight="1">
      <c r="A155" s="1391" t="s">
        <v>864</v>
      </c>
      <c r="B155" s="1386" t="s">
        <v>865</v>
      </c>
      <c r="C155" s="1386" t="s">
        <v>133</v>
      </c>
      <c r="D155" s="1392" t="str">
        <f>+$D$35</f>
        <v>Status during last FY 2017-18</v>
      </c>
      <c r="E155" s="1392"/>
      <c r="F155" s="1392"/>
      <c r="G155" s="1392"/>
      <c r="H155" s="1392"/>
      <c r="I155" s="1392"/>
      <c r="J155" s="1392"/>
      <c r="K155" s="1392"/>
    </row>
    <row r="156" spans="1:13" s="1" customFormat="1" ht="15" customHeight="1">
      <c r="A156" s="1391"/>
      <c r="B156" s="1386"/>
      <c r="C156" s="1386"/>
      <c r="D156" s="1393" t="s">
        <v>134</v>
      </c>
      <c r="E156" s="1393"/>
      <c r="F156" s="1393"/>
      <c r="G156" s="1393"/>
      <c r="H156" s="1393"/>
      <c r="I156" s="1393"/>
      <c r="J156" s="1393" t="s">
        <v>135</v>
      </c>
      <c r="K156" s="1394"/>
    </row>
    <row r="157" spans="1:13" s="1" customFormat="1" ht="15" customHeight="1">
      <c r="A157" s="1391"/>
      <c r="B157" s="1386"/>
      <c r="C157" s="1386"/>
      <c r="D157" s="1386" t="s">
        <v>136</v>
      </c>
      <c r="E157" s="1386"/>
      <c r="F157" s="1386" t="s">
        <v>137</v>
      </c>
      <c r="G157" s="1386"/>
      <c r="H157" s="1386" t="s">
        <v>138</v>
      </c>
      <c r="I157" s="1387" t="s">
        <v>866</v>
      </c>
      <c r="J157" s="1386" t="s">
        <v>139</v>
      </c>
      <c r="K157" s="1387" t="s">
        <v>866</v>
      </c>
    </row>
    <row r="158" spans="1:13" s="1" customFormat="1" ht="15" customHeight="1">
      <c r="A158" s="1391"/>
      <c r="B158" s="1386"/>
      <c r="C158" s="1386"/>
      <c r="D158" s="603" t="s">
        <v>140</v>
      </c>
      <c r="E158" s="603" t="s">
        <v>141</v>
      </c>
      <c r="F158" s="603" t="s">
        <v>140</v>
      </c>
      <c r="G158" s="603" t="s">
        <v>141</v>
      </c>
      <c r="H158" s="1386"/>
      <c r="I158" s="1387"/>
      <c r="J158" s="1386"/>
      <c r="K158" s="1387"/>
    </row>
    <row r="159" spans="1:13" s="1" customFormat="1" ht="21.95" customHeight="1">
      <c r="A159" s="1381" t="s">
        <v>143</v>
      </c>
      <c r="B159" s="194" t="s">
        <v>158</v>
      </c>
      <c r="C159" s="649">
        <v>13</v>
      </c>
      <c r="D159" s="15">
        <v>7</v>
      </c>
      <c r="E159" s="15">
        <v>3</v>
      </c>
      <c r="F159" s="15"/>
      <c r="G159" s="15"/>
      <c r="H159" s="15">
        <v>10</v>
      </c>
      <c r="I159" s="639">
        <v>25.204999999999998</v>
      </c>
      <c r="J159" s="15">
        <f>SUM(C159-H159)</f>
        <v>3</v>
      </c>
      <c r="K159" s="644">
        <v>4.9190000000000005</v>
      </c>
    </row>
    <row r="160" spans="1:13" s="1" customFormat="1" ht="21.95" customHeight="1">
      <c r="A160" s="1382"/>
      <c r="B160" s="194" t="s">
        <v>159</v>
      </c>
      <c r="C160" s="650"/>
      <c r="D160" s="15"/>
      <c r="E160" s="15"/>
      <c r="F160" s="15"/>
      <c r="G160" s="15"/>
      <c r="H160" s="15">
        <v>0</v>
      </c>
      <c r="I160" s="639"/>
      <c r="J160" s="15"/>
      <c r="K160" s="644"/>
    </row>
    <row r="161" spans="1:13" s="1" customFormat="1" ht="21.95" customHeight="1">
      <c r="A161" s="1381" t="s">
        <v>144</v>
      </c>
      <c r="B161" s="194" t="s">
        <v>158</v>
      </c>
      <c r="C161" s="651">
        <v>6</v>
      </c>
      <c r="D161" s="15">
        <v>3</v>
      </c>
      <c r="E161" s="15">
        <v>1</v>
      </c>
      <c r="F161" s="15"/>
      <c r="G161" s="15"/>
      <c r="H161" s="15">
        <v>4</v>
      </c>
      <c r="I161" s="639">
        <v>7.0910000000000002</v>
      </c>
      <c r="J161" s="15">
        <f>SUM(C161-H161)</f>
        <v>2</v>
      </c>
      <c r="K161" s="644">
        <v>3.0880000000000001</v>
      </c>
      <c r="L161" s="10"/>
      <c r="M161" s="10"/>
    </row>
    <row r="162" spans="1:13" s="1" customFormat="1" ht="21.95" customHeight="1">
      <c r="A162" s="1382"/>
      <c r="B162" s="194" t="s">
        <v>159</v>
      </c>
      <c r="C162" s="650"/>
      <c r="D162" s="15"/>
      <c r="E162" s="15"/>
      <c r="F162" s="15"/>
      <c r="G162" s="15"/>
      <c r="H162" s="15">
        <v>0</v>
      </c>
      <c r="I162" s="639"/>
      <c r="J162" s="15"/>
      <c r="K162" s="644"/>
      <c r="L162" s="10"/>
      <c r="M162" s="10"/>
    </row>
    <row r="163" spans="1:13" s="1" customFormat="1" ht="21.95" customHeight="1">
      <c r="A163" s="1381" t="s">
        <v>145</v>
      </c>
      <c r="B163" s="194" t="s">
        <v>158</v>
      </c>
      <c r="C163" s="651">
        <v>6</v>
      </c>
      <c r="D163" s="15">
        <v>4</v>
      </c>
      <c r="E163" s="15"/>
      <c r="F163" s="15">
        <v>1</v>
      </c>
      <c r="G163" s="15"/>
      <c r="H163" s="15">
        <v>5</v>
      </c>
      <c r="I163" s="639">
        <v>7.9260000000000002</v>
      </c>
      <c r="J163" s="15">
        <f>SUM(C163-H163)</f>
        <v>1</v>
      </c>
      <c r="K163" s="644">
        <v>1.5579999999999998</v>
      </c>
      <c r="L163" s="10"/>
      <c r="M163" s="10"/>
    </row>
    <row r="164" spans="1:13" s="1" customFormat="1" ht="21.95" customHeight="1">
      <c r="A164" s="1382"/>
      <c r="B164" s="194" t="s">
        <v>159</v>
      </c>
      <c r="C164" s="650"/>
      <c r="D164" s="15"/>
      <c r="E164" s="15"/>
      <c r="F164" s="15"/>
      <c r="G164" s="15"/>
      <c r="H164" s="15">
        <v>0</v>
      </c>
      <c r="I164" s="639"/>
      <c r="J164" s="15"/>
      <c r="K164" s="644"/>
      <c r="L164" s="10"/>
      <c r="M164" s="10"/>
    </row>
    <row r="165" spans="1:13" s="1" customFormat="1" ht="21.95" customHeight="1">
      <c r="A165" s="602" t="s">
        <v>146</v>
      </c>
      <c r="B165" s="194" t="s">
        <v>158</v>
      </c>
      <c r="C165" s="604">
        <v>12</v>
      </c>
      <c r="D165" s="15">
        <v>4</v>
      </c>
      <c r="E165" s="15">
        <v>1</v>
      </c>
      <c r="F165" s="15">
        <v>5</v>
      </c>
      <c r="G165" s="15"/>
      <c r="H165" s="15">
        <v>10</v>
      </c>
      <c r="I165" s="639">
        <v>10.064</v>
      </c>
      <c r="J165" s="15">
        <f>SUM(C165-H165)</f>
        <v>2</v>
      </c>
      <c r="K165" s="644">
        <v>1.6430000000000007</v>
      </c>
      <c r="L165" s="10"/>
      <c r="M165" s="10"/>
    </row>
    <row r="166" spans="1:13" s="1" customFormat="1" ht="21.95" customHeight="1">
      <c r="A166" s="1384" t="s">
        <v>893</v>
      </c>
      <c r="B166" s="1385"/>
      <c r="C166" s="402">
        <f t="shared" ref="C166:K166" si="19">SUM(C159:C165)</f>
        <v>37</v>
      </c>
      <c r="D166" s="402">
        <f t="shared" si="19"/>
        <v>18</v>
      </c>
      <c r="E166" s="402">
        <f t="shared" si="19"/>
        <v>5</v>
      </c>
      <c r="F166" s="402">
        <f t="shared" si="19"/>
        <v>6</v>
      </c>
      <c r="G166" s="402">
        <f t="shared" si="19"/>
        <v>0</v>
      </c>
      <c r="H166" s="402">
        <f t="shared" si="19"/>
        <v>29</v>
      </c>
      <c r="I166" s="641">
        <f t="shared" si="19"/>
        <v>50.286000000000001</v>
      </c>
      <c r="J166" s="402">
        <f t="shared" si="19"/>
        <v>8</v>
      </c>
      <c r="K166" s="642">
        <f t="shared" si="19"/>
        <v>11.208000000000002</v>
      </c>
      <c r="L166" s="10"/>
      <c r="M166" s="10"/>
    </row>
    <row r="167" spans="1:13" s="1" customFormat="1" ht="24.95" customHeight="1">
      <c r="A167" s="1396" t="s">
        <v>1302</v>
      </c>
      <c r="B167" s="1396"/>
      <c r="C167" s="1396"/>
      <c r="D167" s="1396"/>
      <c r="E167" s="1396"/>
      <c r="F167" s="1396"/>
      <c r="G167" s="1396"/>
      <c r="H167" s="1396"/>
      <c r="I167" s="1396"/>
      <c r="J167" s="1396"/>
      <c r="K167" s="1396"/>
      <c r="L167" s="10"/>
      <c r="M167" s="10"/>
    </row>
    <row r="168" spans="1:13" s="1" customFormat="1" ht="15" customHeight="1">
      <c r="A168" s="1391" t="s">
        <v>864</v>
      </c>
      <c r="B168" s="1386" t="s">
        <v>865</v>
      </c>
      <c r="C168" s="1386" t="s">
        <v>133</v>
      </c>
      <c r="D168" s="1392" t="str">
        <f>+$D$9</f>
        <v xml:space="preserve">Planned for next FY 2019-20 </v>
      </c>
      <c r="E168" s="1392"/>
      <c r="F168" s="1392"/>
      <c r="G168" s="1392"/>
      <c r="H168" s="1392"/>
      <c r="I168" s="1392"/>
      <c r="J168" s="1392"/>
      <c r="K168" s="1392"/>
      <c r="L168" s="10"/>
      <c r="M168" s="10"/>
    </row>
    <row r="169" spans="1:13" s="1" customFormat="1" ht="15" customHeight="1">
      <c r="A169" s="1391"/>
      <c r="B169" s="1386"/>
      <c r="C169" s="1386"/>
      <c r="D169" s="1395" t="s">
        <v>134</v>
      </c>
      <c r="E169" s="1395"/>
      <c r="F169" s="1395"/>
      <c r="G169" s="1395"/>
      <c r="H169" s="1395"/>
      <c r="I169" s="1395"/>
      <c r="J169" s="1395" t="s">
        <v>135</v>
      </c>
      <c r="K169" s="1392"/>
      <c r="L169" s="10"/>
      <c r="M169" s="10"/>
    </row>
    <row r="170" spans="1:13" s="1" customFormat="1" ht="15" customHeight="1">
      <c r="A170" s="1391"/>
      <c r="B170" s="1386"/>
      <c r="C170" s="1386"/>
      <c r="D170" s="1386" t="s">
        <v>136</v>
      </c>
      <c r="E170" s="1386"/>
      <c r="F170" s="1386" t="s">
        <v>137</v>
      </c>
      <c r="G170" s="1386"/>
      <c r="H170" s="1386" t="s">
        <v>138</v>
      </c>
      <c r="I170" s="1387" t="s">
        <v>866</v>
      </c>
      <c r="J170" s="1386" t="s">
        <v>139</v>
      </c>
      <c r="K170" s="1387" t="s">
        <v>866</v>
      </c>
      <c r="L170" s="10"/>
      <c r="M170" s="10"/>
    </row>
    <row r="171" spans="1:13" s="1" customFormat="1" ht="15" customHeight="1">
      <c r="A171" s="1391"/>
      <c r="B171" s="1386"/>
      <c r="C171" s="1386"/>
      <c r="D171" s="603" t="s">
        <v>140</v>
      </c>
      <c r="E171" s="603" t="s">
        <v>141</v>
      </c>
      <c r="F171" s="603" t="s">
        <v>140</v>
      </c>
      <c r="G171" s="603" t="s">
        <v>141</v>
      </c>
      <c r="H171" s="1386"/>
      <c r="I171" s="1387"/>
      <c r="J171" s="1386"/>
      <c r="K171" s="1387"/>
      <c r="L171" s="10"/>
      <c r="M171" s="10"/>
    </row>
    <row r="172" spans="1:13" s="1" customFormat="1" ht="21.95" customHeight="1">
      <c r="A172" s="1381" t="s">
        <v>143</v>
      </c>
      <c r="B172" s="194" t="s">
        <v>158</v>
      </c>
      <c r="C172" s="1399">
        <v>11</v>
      </c>
      <c r="D172" s="15">
        <v>8</v>
      </c>
      <c r="E172" s="15">
        <v>1</v>
      </c>
      <c r="F172" s="15">
        <v>0</v>
      </c>
      <c r="G172" s="15">
        <v>0</v>
      </c>
      <c r="H172" s="15">
        <f>SUM(D172:G172)</f>
        <v>9</v>
      </c>
      <c r="I172" s="643">
        <f>2.73+22.95</f>
        <v>25.68</v>
      </c>
      <c r="J172" s="15">
        <f>SUM(C172-H172)</f>
        <v>2</v>
      </c>
      <c r="K172" s="640">
        <f>+K185</f>
        <v>3.2166999999999994</v>
      </c>
      <c r="L172" s="10"/>
      <c r="M172" s="10"/>
    </row>
    <row r="173" spans="1:13" s="1" customFormat="1" ht="21.95" customHeight="1">
      <c r="A173" s="1382"/>
      <c r="B173" s="194" t="s">
        <v>159</v>
      </c>
      <c r="C173" s="1398"/>
      <c r="D173" s="15"/>
      <c r="E173" s="15"/>
      <c r="F173" s="15"/>
      <c r="G173" s="15"/>
      <c r="H173" s="15">
        <f>SUM(D173:G173)</f>
        <v>0</v>
      </c>
      <c r="I173" s="643"/>
      <c r="J173" s="15"/>
      <c r="K173" s="640"/>
      <c r="L173" s="10"/>
      <c r="M173" s="10"/>
    </row>
    <row r="174" spans="1:13" s="1" customFormat="1" ht="21.95" customHeight="1">
      <c r="A174" s="1381" t="s">
        <v>144</v>
      </c>
      <c r="B174" s="194" t="s">
        <v>158</v>
      </c>
      <c r="C174" s="1397">
        <v>4</v>
      </c>
      <c r="D174" s="15">
        <v>2</v>
      </c>
      <c r="E174" s="15">
        <v>1</v>
      </c>
      <c r="F174" s="15"/>
      <c r="G174" s="15"/>
      <c r="H174" s="15">
        <f t="shared" ref="H174:H178" si="20">SUM(D174:G174)</f>
        <v>3</v>
      </c>
      <c r="I174" s="643">
        <v>6.1890000000000001</v>
      </c>
      <c r="J174" s="15">
        <f>SUM(C174-H174)</f>
        <v>1</v>
      </c>
      <c r="K174" s="640">
        <f>+K187</f>
        <v>1.63</v>
      </c>
      <c r="L174" s="10"/>
      <c r="M174" s="10"/>
    </row>
    <row r="175" spans="1:13" s="1" customFormat="1" ht="21.95" customHeight="1">
      <c r="A175" s="1382"/>
      <c r="B175" s="194" t="s">
        <v>159</v>
      </c>
      <c r="C175" s="1398"/>
      <c r="D175" s="15"/>
      <c r="E175" s="15"/>
      <c r="F175" s="15"/>
      <c r="G175" s="15"/>
      <c r="H175" s="15">
        <f t="shared" si="20"/>
        <v>0</v>
      </c>
      <c r="I175" s="643"/>
      <c r="J175" s="15"/>
      <c r="K175" s="640"/>
      <c r="L175" s="10"/>
      <c r="M175" s="10"/>
    </row>
    <row r="176" spans="1:13" s="1" customFormat="1" ht="21.95" customHeight="1">
      <c r="A176" s="1381" t="s">
        <v>145</v>
      </c>
      <c r="B176" s="194" t="s">
        <v>158</v>
      </c>
      <c r="C176" s="1397">
        <v>11</v>
      </c>
      <c r="D176" s="15">
        <v>5</v>
      </c>
      <c r="E176" s="15"/>
      <c r="F176" s="15">
        <v>3</v>
      </c>
      <c r="G176" s="15">
        <v>1</v>
      </c>
      <c r="H176" s="15">
        <f t="shared" si="20"/>
        <v>9</v>
      </c>
      <c r="I176" s="643">
        <v>15.821</v>
      </c>
      <c r="J176" s="15">
        <f>SUM(C176-H176)</f>
        <v>2</v>
      </c>
      <c r="K176" s="640">
        <f>+K189</f>
        <v>2.3869999999999987</v>
      </c>
      <c r="L176" s="10"/>
      <c r="M176" s="10"/>
    </row>
    <row r="177" spans="1:13" s="1" customFormat="1" ht="21.95" customHeight="1">
      <c r="A177" s="1382"/>
      <c r="B177" s="194" t="s">
        <v>159</v>
      </c>
      <c r="C177" s="1398"/>
      <c r="D177" s="15"/>
      <c r="E177" s="15"/>
      <c r="F177" s="15"/>
      <c r="G177" s="15"/>
      <c r="H177" s="15">
        <f t="shared" si="20"/>
        <v>0</v>
      </c>
      <c r="I177" s="643"/>
      <c r="J177" s="15"/>
      <c r="K177" s="640"/>
    </row>
    <row r="178" spans="1:13" s="1" customFormat="1" ht="21.95" customHeight="1">
      <c r="A178" s="602" t="s">
        <v>146</v>
      </c>
      <c r="B178" s="194" t="s">
        <v>158</v>
      </c>
      <c r="C178" s="604">
        <v>20</v>
      </c>
      <c r="D178" s="15">
        <v>1</v>
      </c>
      <c r="E178" s="15">
        <v>1</v>
      </c>
      <c r="F178" s="15">
        <v>5</v>
      </c>
      <c r="G178" s="15">
        <v>11</v>
      </c>
      <c r="H178" s="15">
        <f t="shared" si="20"/>
        <v>18</v>
      </c>
      <c r="I178" s="643">
        <v>22.77</v>
      </c>
      <c r="J178" s="15">
        <f>SUM(C178-H178)</f>
        <v>2</v>
      </c>
      <c r="K178" s="640">
        <f>+K191</f>
        <v>1.7439999999999998</v>
      </c>
    </row>
    <row r="179" spans="1:13" s="1" customFormat="1" ht="21.95" customHeight="1">
      <c r="A179" s="1384" t="s">
        <v>893</v>
      </c>
      <c r="B179" s="1385"/>
      <c r="C179" s="402">
        <f t="shared" ref="C179:K179" si="21">SUM(C172:C178)</f>
        <v>46</v>
      </c>
      <c r="D179" s="402">
        <f t="shared" si="21"/>
        <v>16</v>
      </c>
      <c r="E179" s="402">
        <f t="shared" si="21"/>
        <v>3</v>
      </c>
      <c r="F179" s="402">
        <f t="shared" si="21"/>
        <v>8</v>
      </c>
      <c r="G179" s="402">
        <f t="shared" si="21"/>
        <v>12</v>
      </c>
      <c r="H179" s="402">
        <f t="shared" si="21"/>
        <v>39</v>
      </c>
      <c r="I179" s="641">
        <f t="shared" si="21"/>
        <v>70.459999999999994</v>
      </c>
      <c r="J179" s="402">
        <f t="shared" si="21"/>
        <v>7</v>
      </c>
      <c r="K179" s="642">
        <f t="shared" si="21"/>
        <v>8.9776999999999987</v>
      </c>
    </row>
    <row r="180" spans="1:13" s="1" customFormat="1" ht="12" customHeight="1">
      <c r="A180" s="1388"/>
      <c r="B180" s="1389"/>
      <c r="C180" s="1389"/>
      <c r="D180" s="1389"/>
      <c r="E180" s="1389"/>
      <c r="F180" s="1389"/>
      <c r="G180" s="1389"/>
      <c r="H180" s="1389"/>
      <c r="I180" s="1389"/>
      <c r="J180" s="1389"/>
      <c r="K180" s="1390"/>
    </row>
    <row r="181" spans="1:13" s="1" customFormat="1" ht="15" customHeight="1">
      <c r="A181" s="1391" t="s">
        <v>864</v>
      </c>
      <c r="B181" s="1386" t="s">
        <v>865</v>
      </c>
      <c r="C181" s="1386" t="s">
        <v>133</v>
      </c>
      <c r="D181" s="1392" t="str">
        <f>+$D$22</f>
        <v>Status during current year 2018-19</v>
      </c>
      <c r="E181" s="1392"/>
      <c r="F181" s="1392"/>
      <c r="G181" s="1392"/>
      <c r="H181" s="1392"/>
      <c r="I181" s="1392"/>
      <c r="J181" s="1392"/>
      <c r="K181" s="1392"/>
    </row>
    <row r="182" spans="1:13" s="1" customFormat="1" ht="15" customHeight="1">
      <c r="A182" s="1391"/>
      <c r="B182" s="1386"/>
      <c r="C182" s="1386"/>
      <c r="D182" s="1393" t="s">
        <v>134</v>
      </c>
      <c r="E182" s="1393"/>
      <c r="F182" s="1393"/>
      <c r="G182" s="1393"/>
      <c r="H182" s="1393"/>
      <c r="I182" s="1393"/>
      <c r="J182" s="1393" t="s">
        <v>135</v>
      </c>
      <c r="K182" s="1394"/>
    </row>
    <row r="183" spans="1:13" s="1" customFormat="1" ht="15" customHeight="1">
      <c r="A183" s="1391"/>
      <c r="B183" s="1386"/>
      <c r="C183" s="1386"/>
      <c r="D183" s="1386" t="s">
        <v>136</v>
      </c>
      <c r="E183" s="1386"/>
      <c r="F183" s="1386" t="s">
        <v>137</v>
      </c>
      <c r="G183" s="1386"/>
      <c r="H183" s="1386" t="s">
        <v>138</v>
      </c>
      <c r="I183" s="1387" t="s">
        <v>866</v>
      </c>
      <c r="J183" s="1386" t="s">
        <v>139</v>
      </c>
      <c r="K183" s="1387" t="s">
        <v>866</v>
      </c>
    </row>
    <row r="184" spans="1:13" s="1" customFormat="1" ht="15" customHeight="1">
      <c r="A184" s="1391"/>
      <c r="B184" s="1386"/>
      <c r="C184" s="1386"/>
      <c r="D184" s="603" t="s">
        <v>140</v>
      </c>
      <c r="E184" s="603" t="s">
        <v>141</v>
      </c>
      <c r="F184" s="603" t="s">
        <v>140</v>
      </c>
      <c r="G184" s="603" t="s">
        <v>141</v>
      </c>
      <c r="H184" s="1386"/>
      <c r="I184" s="1387"/>
      <c r="J184" s="1386"/>
      <c r="K184" s="1387"/>
    </row>
    <row r="185" spans="1:13" s="1" customFormat="1" ht="21.95" customHeight="1">
      <c r="A185" s="1381" t="s">
        <v>143</v>
      </c>
      <c r="B185" s="194" t="s">
        <v>158</v>
      </c>
      <c r="C185" s="1399">
        <v>11</v>
      </c>
      <c r="D185" s="15">
        <v>8</v>
      </c>
      <c r="E185" s="15">
        <v>1</v>
      </c>
      <c r="F185" s="15">
        <v>0</v>
      </c>
      <c r="G185" s="15">
        <v>0</v>
      </c>
      <c r="H185" s="15">
        <f>SUM(D185:G185)</f>
        <v>9</v>
      </c>
      <c r="I185" s="643">
        <f>22.374+2.646</f>
        <v>25.02</v>
      </c>
      <c r="J185" s="15">
        <f>SUM(C185-H185)</f>
        <v>2</v>
      </c>
      <c r="K185" s="644">
        <f>+M185-22.3743</f>
        <v>3.2166999999999994</v>
      </c>
      <c r="M185" s="1">
        <v>25.591000000000001</v>
      </c>
    </row>
    <row r="186" spans="1:13" s="1" customFormat="1" ht="21.95" customHeight="1">
      <c r="A186" s="1382"/>
      <c r="B186" s="194" t="s">
        <v>159</v>
      </c>
      <c r="C186" s="1398"/>
      <c r="D186" s="15"/>
      <c r="E186" s="15"/>
      <c r="F186" s="15"/>
      <c r="G186" s="15"/>
      <c r="H186" s="15">
        <f>SUM(D186:G186)</f>
        <v>0</v>
      </c>
      <c r="I186" s="643"/>
      <c r="J186" s="15"/>
      <c r="K186" s="644"/>
    </row>
    <row r="187" spans="1:13" s="1" customFormat="1" ht="21.95" customHeight="1">
      <c r="A187" s="1381" t="s">
        <v>144</v>
      </c>
      <c r="B187" s="194" t="s">
        <v>158</v>
      </c>
      <c r="C187" s="1397">
        <v>4</v>
      </c>
      <c r="D187" s="15">
        <v>2</v>
      </c>
      <c r="E187" s="15">
        <v>1</v>
      </c>
      <c r="F187" s="15"/>
      <c r="G187" s="15"/>
      <c r="H187" s="15">
        <f t="shared" ref="H187:H191" si="22">SUM(D187:G187)</f>
        <v>3</v>
      </c>
      <c r="I187" s="643">
        <v>5.9939999999999998</v>
      </c>
      <c r="J187" s="15">
        <f>SUM(C187-H187)</f>
        <v>1</v>
      </c>
      <c r="K187" s="644">
        <f>+M187-I187</f>
        <v>1.63</v>
      </c>
      <c r="M187" s="1">
        <v>7.6239999999999997</v>
      </c>
    </row>
    <row r="188" spans="1:13" s="1" customFormat="1" ht="21.95" customHeight="1">
      <c r="A188" s="1382"/>
      <c r="B188" s="194" t="s">
        <v>159</v>
      </c>
      <c r="C188" s="1398"/>
      <c r="D188" s="15"/>
      <c r="E188" s="15"/>
      <c r="F188" s="15"/>
      <c r="G188" s="15"/>
      <c r="H188" s="15">
        <f t="shared" si="22"/>
        <v>0</v>
      </c>
      <c r="I188" s="643"/>
      <c r="J188" s="15"/>
      <c r="K188" s="644"/>
    </row>
    <row r="189" spans="1:13" s="1" customFormat="1" ht="21.95" customHeight="1">
      <c r="A189" s="1381" t="s">
        <v>145</v>
      </c>
      <c r="B189" s="194" t="s">
        <v>158</v>
      </c>
      <c r="C189" s="1397">
        <v>11</v>
      </c>
      <c r="D189" s="15">
        <v>5</v>
      </c>
      <c r="E189" s="15"/>
      <c r="F189" s="15">
        <v>3</v>
      </c>
      <c r="G189" s="15">
        <v>1</v>
      </c>
      <c r="H189" s="15">
        <f t="shared" si="22"/>
        <v>9</v>
      </c>
      <c r="I189" s="643">
        <v>15.426</v>
      </c>
      <c r="J189" s="15">
        <f>SUM(C189-H189)</f>
        <v>2</v>
      </c>
      <c r="K189" s="644">
        <f>+M189-I189</f>
        <v>2.3869999999999987</v>
      </c>
      <c r="M189" s="1">
        <v>17.812999999999999</v>
      </c>
    </row>
    <row r="190" spans="1:13" s="1" customFormat="1" ht="21.95" customHeight="1">
      <c r="A190" s="1382"/>
      <c r="B190" s="194" t="s">
        <v>159</v>
      </c>
      <c r="C190" s="1398"/>
      <c r="D190" s="15"/>
      <c r="E190" s="15"/>
      <c r="F190" s="15"/>
      <c r="G190" s="15"/>
      <c r="H190" s="15">
        <f t="shared" si="22"/>
        <v>0</v>
      </c>
      <c r="I190" s="643"/>
      <c r="J190" s="15"/>
      <c r="K190" s="644"/>
    </row>
    <row r="191" spans="1:13" s="1" customFormat="1" ht="21.95" customHeight="1">
      <c r="A191" s="602" t="s">
        <v>146</v>
      </c>
      <c r="B191" s="194" t="s">
        <v>158</v>
      </c>
      <c r="C191" s="604">
        <v>20</v>
      </c>
      <c r="D191" s="15">
        <v>1</v>
      </c>
      <c r="E191" s="15">
        <v>1</v>
      </c>
      <c r="F191" s="15">
        <v>5</v>
      </c>
      <c r="G191" s="15">
        <v>11</v>
      </c>
      <c r="H191" s="15">
        <f t="shared" si="22"/>
        <v>18</v>
      </c>
      <c r="I191" s="643">
        <v>22.026</v>
      </c>
      <c r="J191" s="15">
        <f>SUM(C191-H191)</f>
        <v>2</v>
      </c>
      <c r="K191" s="644">
        <f>+M191-I191</f>
        <v>1.7439999999999998</v>
      </c>
      <c r="M191" s="1">
        <v>23.77</v>
      </c>
    </row>
    <row r="192" spans="1:13" s="1" customFormat="1" ht="21.95" customHeight="1">
      <c r="A192" s="1384" t="s">
        <v>893</v>
      </c>
      <c r="B192" s="1385"/>
      <c r="C192" s="402">
        <f t="shared" ref="C192:K192" si="23">SUM(C185:C191)</f>
        <v>46</v>
      </c>
      <c r="D192" s="402">
        <f t="shared" si="23"/>
        <v>16</v>
      </c>
      <c r="E192" s="402">
        <f t="shared" si="23"/>
        <v>3</v>
      </c>
      <c r="F192" s="402">
        <f t="shared" si="23"/>
        <v>8</v>
      </c>
      <c r="G192" s="402">
        <f t="shared" si="23"/>
        <v>12</v>
      </c>
      <c r="H192" s="402">
        <f t="shared" si="23"/>
        <v>39</v>
      </c>
      <c r="I192" s="641">
        <f t="shared" si="23"/>
        <v>68.465999999999994</v>
      </c>
      <c r="J192" s="402">
        <f t="shared" si="23"/>
        <v>7</v>
      </c>
      <c r="K192" s="642">
        <f t="shared" si="23"/>
        <v>8.9776999999999987</v>
      </c>
    </row>
    <row r="193" spans="1:11" s="1" customFormat="1" ht="12" customHeight="1">
      <c r="A193" s="1388"/>
      <c r="B193" s="1389"/>
      <c r="C193" s="1389"/>
      <c r="D193" s="1389"/>
      <c r="E193" s="1389"/>
      <c r="F193" s="1389"/>
      <c r="G193" s="1389"/>
      <c r="H193" s="1389"/>
      <c r="I193" s="1389"/>
      <c r="J193" s="1389"/>
      <c r="K193" s="1390"/>
    </row>
    <row r="194" spans="1:11" s="1" customFormat="1" ht="15" customHeight="1">
      <c r="A194" s="1391" t="s">
        <v>864</v>
      </c>
      <c r="B194" s="1386" t="s">
        <v>865</v>
      </c>
      <c r="C194" s="1386" t="s">
        <v>133</v>
      </c>
      <c r="D194" s="1392" t="str">
        <f>+$D$35</f>
        <v>Status during last FY 2017-18</v>
      </c>
      <c r="E194" s="1392"/>
      <c r="F194" s="1392"/>
      <c r="G194" s="1392"/>
      <c r="H194" s="1392"/>
      <c r="I194" s="1392"/>
      <c r="J194" s="1392"/>
      <c r="K194" s="1392"/>
    </row>
    <row r="195" spans="1:11" s="1" customFormat="1" ht="15" customHeight="1">
      <c r="A195" s="1391"/>
      <c r="B195" s="1386"/>
      <c r="C195" s="1386"/>
      <c r="D195" s="1393" t="s">
        <v>134</v>
      </c>
      <c r="E195" s="1393"/>
      <c r="F195" s="1393"/>
      <c r="G195" s="1393"/>
      <c r="H195" s="1393"/>
      <c r="I195" s="1393"/>
      <c r="J195" s="1393" t="s">
        <v>135</v>
      </c>
      <c r="K195" s="1394"/>
    </row>
    <row r="196" spans="1:11" s="1" customFormat="1" ht="15" customHeight="1">
      <c r="A196" s="1391"/>
      <c r="B196" s="1386"/>
      <c r="C196" s="1386"/>
      <c r="D196" s="1386" t="s">
        <v>136</v>
      </c>
      <c r="E196" s="1386"/>
      <c r="F196" s="1386" t="s">
        <v>137</v>
      </c>
      <c r="G196" s="1386"/>
      <c r="H196" s="1386" t="s">
        <v>138</v>
      </c>
      <c r="I196" s="1387" t="s">
        <v>866</v>
      </c>
      <c r="J196" s="1386" t="s">
        <v>139</v>
      </c>
      <c r="K196" s="1387" t="s">
        <v>866</v>
      </c>
    </row>
    <row r="197" spans="1:11" s="1" customFormat="1" ht="15" customHeight="1">
      <c r="A197" s="1391"/>
      <c r="B197" s="1386"/>
      <c r="C197" s="1386"/>
      <c r="D197" s="603" t="s">
        <v>140</v>
      </c>
      <c r="E197" s="603" t="s">
        <v>141</v>
      </c>
      <c r="F197" s="603" t="s">
        <v>140</v>
      </c>
      <c r="G197" s="603" t="s">
        <v>141</v>
      </c>
      <c r="H197" s="1386"/>
      <c r="I197" s="1387"/>
      <c r="J197" s="1386"/>
      <c r="K197" s="1387"/>
    </row>
    <row r="198" spans="1:11" s="1" customFormat="1" ht="21.95" customHeight="1">
      <c r="A198" s="1381" t="s">
        <v>143</v>
      </c>
      <c r="B198" s="194" t="s">
        <v>158</v>
      </c>
      <c r="C198" s="649">
        <v>11</v>
      </c>
      <c r="D198" s="15">
        <v>10</v>
      </c>
      <c r="E198" s="15">
        <v>1</v>
      </c>
      <c r="F198" s="15"/>
      <c r="G198" s="15"/>
      <c r="H198" s="15">
        <v>11</v>
      </c>
      <c r="I198" s="639">
        <v>28.254000000000001</v>
      </c>
      <c r="J198" s="15">
        <f>SUM(C198-H198)</f>
        <v>0</v>
      </c>
      <c r="K198" s="644"/>
    </row>
    <row r="199" spans="1:11" s="1" customFormat="1" ht="21.95" customHeight="1">
      <c r="A199" s="1382"/>
      <c r="B199" s="194" t="s">
        <v>159</v>
      </c>
      <c r="C199" s="650"/>
      <c r="D199" s="15"/>
      <c r="E199" s="15"/>
      <c r="F199" s="15"/>
      <c r="G199" s="15"/>
      <c r="H199" s="15">
        <v>0</v>
      </c>
      <c r="I199" s="639"/>
      <c r="J199" s="15"/>
      <c r="K199" s="644"/>
    </row>
    <row r="200" spans="1:11" s="1" customFormat="1" ht="21.95" customHeight="1">
      <c r="A200" s="1381" t="s">
        <v>144</v>
      </c>
      <c r="B200" s="194" t="s">
        <v>158</v>
      </c>
      <c r="C200" s="651">
        <v>5</v>
      </c>
      <c r="D200" s="15">
        <v>1</v>
      </c>
      <c r="E200" s="15">
        <v>1</v>
      </c>
      <c r="F200" s="15">
        <v>2</v>
      </c>
      <c r="G200" s="15"/>
      <c r="H200" s="15">
        <v>4</v>
      </c>
      <c r="I200" s="639">
        <v>8.5749999999999993</v>
      </c>
      <c r="J200" s="15">
        <f>SUM(C200-H200)</f>
        <v>1</v>
      </c>
      <c r="K200" s="644">
        <v>1.484</v>
      </c>
    </row>
    <row r="201" spans="1:11" s="1" customFormat="1" ht="21.95" customHeight="1">
      <c r="A201" s="1382"/>
      <c r="B201" s="194" t="s">
        <v>159</v>
      </c>
      <c r="C201" s="650"/>
      <c r="D201" s="15"/>
      <c r="E201" s="15"/>
      <c r="F201" s="15"/>
      <c r="G201" s="15"/>
      <c r="H201" s="15">
        <v>0</v>
      </c>
      <c r="I201" s="639"/>
      <c r="J201" s="15"/>
      <c r="K201" s="644"/>
    </row>
    <row r="202" spans="1:11" s="1" customFormat="1" ht="21.95" customHeight="1">
      <c r="A202" s="1381" t="s">
        <v>145</v>
      </c>
      <c r="B202" s="194" t="s">
        <v>158</v>
      </c>
      <c r="C202" s="651">
        <v>9</v>
      </c>
      <c r="D202" s="15">
        <v>3</v>
      </c>
      <c r="E202" s="15"/>
      <c r="F202" s="15">
        <v>5</v>
      </c>
      <c r="G202" s="15">
        <v>1</v>
      </c>
      <c r="H202" s="15">
        <v>9</v>
      </c>
      <c r="I202" s="639">
        <v>14.025</v>
      </c>
      <c r="J202" s="15">
        <f>SUM(C202-H202)</f>
        <v>0</v>
      </c>
      <c r="K202" s="644"/>
    </row>
    <row r="203" spans="1:11" s="1" customFormat="1" ht="21.95" customHeight="1">
      <c r="A203" s="1382"/>
      <c r="B203" s="194" t="s">
        <v>159</v>
      </c>
      <c r="C203" s="650"/>
      <c r="D203" s="15"/>
      <c r="E203" s="15"/>
      <c r="F203" s="15"/>
      <c r="G203" s="15"/>
      <c r="H203" s="15">
        <v>0</v>
      </c>
      <c r="I203" s="639"/>
      <c r="J203" s="15"/>
      <c r="K203" s="644"/>
    </row>
    <row r="204" spans="1:11" s="1" customFormat="1" ht="21.95" customHeight="1">
      <c r="A204" s="602" t="s">
        <v>146</v>
      </c>
      <c r="B204" s="194" t="s">
        <v>158</v>
      </c>
      <c r="C204" s="604">
        <v>21</v>
      </c>
      <c r="D204" s="15">
        <v>1</v>
      </c>
      <c r="E204" s="15">
        <v>0</v>
      </c>
      <c r="F204" s="15">
        <v>6</v>
      </c>
      <c r="G204" s="15">
        <v>14</v>
      </c>
      <c r="H204" s="15">
        <v>21</v>
      </c>
      <c r="I204" s="639">
        <v>23.46</v>
      </c>
      <c r="J204" s="15">
        <f>SUM(C204-H204)</f>
        <v>0</v>
      </c>
      <c r="K204" s="644"/>
    </row>
    <row r="205" spans="1:11" s="1" customFormat="1" ht="21.95" customHeight="1">
      <c r="A205" s="1384" t="s">
        <v>893</v>
      </c>
      <c r="B205" s="1385"/>
      <c r="C205" s="402">
        <f t="shared" ref="C205:K205" si="24">SUM(C198:C204)</f>
        <v>46</v>
      </c>
      <c r="D205" s="402">
        <f t="shared" si="24"/>
        <v>15</v>
      </c>
      <c r="E205" s="402">
        <f t="shared" si="24"/>
        <v>2</v>
      </c>
      <c r="F205" s="402">
        <f t="shared" si="24"/>
        <v>13</v>
      </c>
      <c r="G205" s="402">
        <f t="shared" si="24"/>
        <v>15</v>
      </c>
      <c r="H205" s="402">
        <f t="shared" si="24"/>
        <v>45</v>
      </c>
      <c r="I205" s="641">
        <f t="shared" si="24"/>
        <v>74.313999999999993</v>
      </c>
      <c r="J205" s="402">
        <f t="shared" si="24"/>
        <v>1</v>
      </c>
      <c r="K205" s="642">
        <f t="shared" si="24"/>
        <v>1.484</v>
      </c>
    </row>
    <row r="206" spans="1:11" s="1" customFormat="1" ht="24.95" customHeight="1">
      <c r="A206" s="1396" t="s">
        <v>1303</v>
      </c>
      <c r="B206" s="1396"/>
      <c r="C206" s="1396"/>
      <c r="D206" s="1396"/>
      <c r="E206" s="1396"/>
      <c r="F206" s="1396"/>
      <c r="G206" s="1396"/>
      <c r="H206" s="1396"/>
      <c r="I206" s="1396"/>
      <c r="J206" s="1396"/>
      <c r="K206" s="1396"/>
    </row>
    <row r="207" spans="1:11" s="1" customFormat="1" ht="15" customHeight="1">
      <c r="A207" s="1391" t="s">
        <v>864</v>
      </c>
      <c r="B207" s="1386" t="s">
        <v>865</v>
      </c>
      <c r="C207" s="1386" t="s">
        <v>133</v>
      </c>
      <c r="D207" s="1392" t="str">
        <f>+$D$9</f>
        <v xml:space="preserve">Planned for next FY 2019-20 </v>
      </c>
      <c r="E207" s="1392"/>
      <c r="F207" s="1392"/>
      <c r="G207" s="1392"/>
      <c r="H207" s="1392"/>
      <c r="I207" s="1392"/>
      <c r="J207" s="1392"/>
      <c r="K207" s="1392"/>
    </row>
    <row r="208" spans="1:11" s="1" customFormat="1" ht="15" customHeight="1">
      <c r="A208" s="1391"/>
      <c r="B208" s="1386"/>
      <c r="C208" s="1386"/>
      <c r="D208" s="1395" t="s">
        <v>134</v>
      </c>
      <c r="E208" s="1395"/>
      <c r="F208" s="1395"/>
      <c r="G208" s="1395"/>
      <c r="H208" s="1395"/>
      <c r="I208" s="1395"/>
      <c r="J208" s="1395" t="s">
        <v>135</v>
      </c>
      <c r="K208" s="1392"/>
    </row>
    <row r="209" spans="1:13" s="1" customFormat="1" ht="15" customHeight="1">
      <c r="A209" s="1391"/>
      <c r="B209" s="1386"/>
      <c r="C209" s="1386"/>
      <c r="D209" s="1386" t="s">
        <v>136</v>
      </c>
      <c r="E209" s="1386"/>
      <c r="F209" s="1386" t="s">
        <v>137</v>
      </c>
      <c r="G209" s="1386"/>
      <c r="H209" s="1386" t="s">
        <v>138</v>
      </c>
      <c r="I209" s="1387" t="s">
        <v>866</v>
      </c>
      <c r="J209" s="1386" t="s">
        <v>139</v>
      </c>
      <c r="K209" s="1387" t="s">
        <v>866</v>
      </c>
      <c r="L209" s="10"/>
      <c r="M209" s="10"/>
    </row>
    <row r="210" spans="1:13" s="1" customFormat="1" ht="15" customHeight="1">
      <c r="A210" s="1391"/>
      <c r="B210" s="1386"/>
      <c r="C210" s="1386"/>
      <c r="D210" s="603" t="s">
        <v>140</v>
      </c>
      <c r="E210" s="603" t="s">
        <v>141</v>
      </c>
      <c r="F210" s="603" t="s">
        <v>140</v>
      </c>
      <c r="G210" s="603" t="s">
        <v>141</v>
      </c>
      <c r="H210" s="1386"/>
      <c r="I210" s="1387"/>
      <c r="J210" s="1386"/>
      <c r="K210" s="1387"/>
      <c r="L210" s="10"/>
      <c r="M210" s="10"/>
    </row>
    <row r="211" spans="1:13" s="1" customFormat="1" ht="21.95" customHeight="1">
      <c r="A211" s="1381" t="s">
        <v>143</v>
      </c>
      <c r="B211" s="194" t="s">
        <v>158</v>
      </c>
      <c r="C211" s="1383">
        <v>37</v>
      </c>
      <c r="D211" s="15">
        <v>20</v>
      </c>
      <c r="E211" s="15">
        <v>5</v>
      </c>
      <c r="F211" s="15"/>
      <c r="G211" s="15"/>
      <c r="H211" s="15">
        <f>SUM(D211:G211)</f>
        <v>25</v>
      </c>
      <c r="I211" s="639">
        <f>56.711+9.446</f>
        <v>66.156999999999996</v>
      </c>
      <c r="J211" s="15">
        <f>SUM(C211-H211)</f>
        <v>12</v>
      </c>
      <c r="K211" s="640">
        <f>+K224</f>
        <v>12.947999999999993</v>
      </c>
      <c r="L211" s="10"/>
      <c r="M211" s="639"/>
    </row>
    <row r="212" spans="1:13" s="1" customFormat="1" ht="21.95" customHeight="1">
      <c r="A212" s="1382"/>
      <c r="B212" s="194" t="s">
        <v>159</v>
      </c>
      <c r="C212" s="1383"/>
      <c r="D212" s="15"/>
      <c r="E212" s="15"/>
      <c r="F212" s="15"/>
      <c r="G212" s="15"/>
      <c r="H212" s="15">
        <f>SUM(D212:G212)</f>
        <v>0</v>
      </c>
      <c r="I212" s="639"/>
      <c r="J212" s="15"/>
      <c r="K212" s="640"/>
      <c r="L212" s="10"/>
      <c r="M212" s="10"/>
    </row>
    <row r="213" spans="1:13" s="1" customFormat="1" ht="21.95" customHeight="1">
      <c r="A213" s="1381" t="s">
        <v>144</v>
      </c>
      <c r="B213" s="194" t="s">
        <v>158</v>
      </c>
      <c r="C213" s="1383">
        <v>25</v>
      </c>
      <c r="D213" s="15">
        <v>12</v>
      </c>
      <c r="E213" s="15">
        <v>3</v>
      </c>
      <c r="F213" s="15"/>
      <c r="G213" s="15"/>
      <c r="H213" s="15">
        <f t="shared" ref="H213:H217" si="25">SUM(D213:G213)</f>
        <v>15</v>
      </c>
      <c r="I213" s="639">
        <v>31.972000000000001</v>
      </c>
      <c r="J213" s="15">
        <f>SUM(C213-H213)</f>
        <v>10</v>
      </c>
      <c r="K213" s="640">
        <f>+K226</f>
        <v>16.651</v>
      </c>
      <c r="L213" s="10"/>
      <c r="M213" s="10"/>
    </row>
    <row r="214" spans="1:13" s="1" customFormat="1" ht="21.95" customHeight="1">
      <c r="A214" s="1382"/>
      <c r="B214" s="194" t="s">
        <v>159</v>
      </c>
      <c r="C214" s="1383"/>
      <c r="D214" s="15"/>
      <c r="E214" s="15"/>
      <c r="F214" s="15"/>
      <c r="G214" s="15"/>
      <c r="H214" s="15">
        <f t="shared" si="25"/>
        <v>0</v>
      </c>
      <c r="I214" s="639"/>
      <c r="J214" s="15"/>
      <c r="K214" s="640"/>
      <c r="L214" s="10"/>
      <c r="M214" s="10"/>
    </row>
    <row r="215" spans="1:13" s="1" customFormat="1" ht="21.95" customHeight="1">
      <c r="A215" s="1381" t="s">
        <v>145</v>
      </c>
      <c r="B215" s="194" t="s">
        <v>158</v>
      </c>
      <c r="C215" s="1383">
        <v>56</v>
      </c>
      <c r="D215" s="15">
        <v>28</v>
      </c>
      <c r="E215" s="15">
        <v>8</v>
      </c>
      <c r="F215" s="15">
        <v>12</v>
      </c>
      <c r="G215" s="15">
        <v>2</v>
      </c>
      <c r="H215" s="15">
        <f t="shared" si="25"/>
        <v>50</v>
      </c>
      <c r="I215" s="639">
        <v>80.168999999999997</v>
      </c>
      <c r="J215" s="15">
        <f>SUM(C215-H215)</f>
        <v>6</v>
      </c>
      <c r="K215" s="640">
        <f>+K228</f>
        <v>8.046999999999997</v>
      </c>
      <c r="L215" s="10"/>
      <c r="M215" s="10"/>
    </row>
    <row r="216" spans="1:13" s="1" customFormat="1" ht="21.95" customHeight="1">
      <c r="A216" s="1382"/>
      <c r="B216" s="194" t="s">
        <v>159</v>
      </c>
      <c r="C216" s="1383"/>
      <c r="D216" s="15"/>
      <c r="E216" s="15"/>
      <c r="F216" s="15"/>
      <c r="G216" s="15"/>
      <c r="H216" s="15">
        <f t="shared" si="25"/>
        <v>0</v>
      </c>
      <c r="I216" s="639"/>
      <c r="J216" s="15"/>
      <c r="K216" s="640"/>
      <c r="L216" s="10"/>
      <c r="M216" s="10"/>
    </row>
    <row r="217" spans="1:13" s="1" customFormat="1" ht="21.95" customHeight="1">
      <c r="A217" s="602" t="s">
        <v>146</v>
      </c>
      <c r="B217" s="194" t="s">
        <v>158</v>
      </c>
      <c r="C217" s="604">
        <v>53</v>
      </c>
      <c r="D217" s="15">
        <v>3</v>
      </c>
      <c r="E217" s="15">
        <v>1</v>
      </c>
      <c r="F217" s="15">
        <v>23</v>
      </c>
      <c r="G217" s="15">
        <v>19</v>
      </c>
      <c r="H217" s="15">
        <f t="shared" si="25"/>
        <v>46</v>
      </c>
      <c r="I217" s="639">
        <v>56.26</v>
      </c>
      <c r="J217" s="15">
        <f>SUM(C217-H217)</f>
        <v>7</v>
      </c>
      <c r="K217" s="640">
        <f>+K230</f>
        <v>6.2250000000000014</v>
      </c>
      <c r="L217" s="10"/>
      <c r="M217" s="10"/>
    </row>
    <row r="218" spans="1:13" s="1" customFormat="1" ht="21.95" customHeight="1">
      <c r="A218" s="1384" t="s">
        <v>893</v>
      </c>
      <c r="B218" s="1385"/>
      <c r="C218" s="402">
        <f t="shared" ref="C218:K218" si="26">SUM(C211:C217)</f>
        <v>171</v>
      </c>
      <c r="D218" s="402">
        <f t="shared" si="26"/>
        <v>63</v>
      </c>
      <c r="E218" s="402">
        <f t="shared" si="26"/>
        <v>17</v>
      </c>
      <c r="F218" s="402">
        <f t="shared" si="26"/>
        <v>35</v>
      </c>
      <c r="G218" s="402">
        <f t="shared" si="26"/>
        <v>21</v>
      </c>
      <c r="H218" s="402">
        <f t="shared" si="26"/>
        <v>136</v>
      </c>
      <c r="I218" s="641">
        <f t="shared" si="26"/>
        <v>234.55799999999999</v>
      </c>
      <c r="J218" s="402">
        <f t="shared" si="26"/>
        <v>35</v>
      </c>
      <c r="K218" s="642">
        <f t="shared" si="26"/>
        <v>43.870999999999988</v>
      </c>
      <c r="L218" s="10"/>
      <c r="M218" s="10"/>
    </row>
    <row r="219" spans="1:13" s="1" customFormat="1" ht="12" customHeight="1">
      <c r="A219" s="1388"/>
      <c r="B219" s="1389"/>
      <c r="C219" s="1389"/>
      <c r="D219" s="1389"/>
      <c r="E219" s="1389"/>
      <c r="F219" s="1389"/>
      <c r="G219" s="1389"/>
      <c r="H219" s="1389"/>
      <c r="I219" s="1389"/>
      <c r="J219" s="1389"/>
      <c r="K219" s="1390"/>
      <c r="L219" s="10"/>
      <c r="M219" s="10"/>
    </row>
    <row r="220" spans="1:13" s="1" customFormat="1" ht="15" customHeight="1">
      <c r="A220" s="1391" t="s">
        <v>864</v>
      </c>
      <c r="B220" s="1386" t="s">
        <v>865</v>
      </c>
      <c r="C220" s="1386" t="s">
        <v>133</v>
      </c>
      <c r="D220" s="1392" t="str">
        <f>+$D$22</f>
        <v>Status during current year 2018-19</v>
      </c>
      <c r="E220" s="1392"/>
      <c r="F220" s="1392"/>
      <c r="G220" s="1392"/>
      <c r="H220" s="1392"/>
      <c r="I220" s="1392"/>
      <c r="J220" s="1392"/>
      <c r="K220" s="1392"/>
      <c r="L220" s="10"/>
      <c r="M220" s="10"/>
    </row>
    <row r="221" spans="1:13" s="1" customFormat="1" ht="15" customHeight="1">
      <c r="A221" s="1391"/>
      <c r="B221" s="1386"/>
      <c r="C221" s="1386"/>
      <c r="D221" s="1393" t="s">
        <v>134</v>
      </c>
      <c r="E221" s="1393"/>
      <c r="F221" s="1393"/>
      <c r="G221" s="1393"/>
      <c r="H221" s="1393"/>
      <c r="I221" s="1393"/>
      <c r="J221" s="1393" t="s">
        <v>135</v>
      </c>
      <c r="K221" s="1394"/>
      <c r="L221" s="10"/>
      <c r="M221" s="10"/>
    </row>
    <row r="222" spans="1:13" s="1" customFormat="1" ht="15" customHeight="1">
      <c r="A222" s="1391"/>
      <c r="B222" s="1386"/>
      <c r="C222" s="1386"/>
      <c r="D222" s="1386" t="s">
        <v>136</v>
      </c>
      <c r="E222" s="1386"/>
      <c r="F222" s="1386" t="s">
        <v>137</v>
      </c>
      <c r="G222" s="1386"/>
      <c r="H222" s="1386" t="s">
        <v>138</v>
      </c>
      <c r="I222" s="1387" t="s">
        <v>866</v>
      </c>
      <c r="J222" s="1386" t="s">
        <v>139</v>
      </c>
      <c r="K222" s="1387" t="s">
        <v>866</v>
      </c>
      <c r="L222" s="10"/>
      <c r="M222" s="10"/>
    </row>
    <row r="223" spans="1:13" s="1" customFormat="1" ht="15" customHeight="1">
      <c r="A223" s="1391"/>
      <c r="B223" s="1386"/>
      <c r="C223" s="1386"/>
      <c r="D223" s="603" t="s">
        <v>140</v>
      </c>
      <c r="E223" s="603" t="s">
        <v>141</v>
      </c>
      <c r="F223" s="603" t="s">
        <v>140</v>
      </c>
      <c r="G223" s="603" t="s">
        <v>141</v>
      </c>
      <c r="H223" s="1386"/>
      <c r="I223" s="1387"/>
      <c r="J223" s="1386"/>
      <c r="K223" s="1387"/>
      <c r="L223" s="10"/>
      <c r="M223" s="10"/>
    </row>
    <row r="224" spans="1:13" s="1" customFormat="1" ht="21.95" customHeight="1">
      <c r="A224" s="1381" t="s">
        <v>143</v>
      </c>
      <c r="B224" s="194" t="s">
        <v>158</v>
      </c>
      <c r="C224" s="1383">
        <v>37</v>
      </c>
      <c r="D224" s="15">
        <v>20</v>
      </c>
      <c r="E224" s="15">
        <v>5</v>
      </c>
      <c r="F224" s="15"/>
      <c r="G224" s="15"/>
      <c r="H224" s="15">
        <f>SUM(D224:G224)</f>
        <v>25</v>
      </c>
      <c r="I224" s="639">
        <f>9.193+55.127</f>
        <v>64.320000000000007</v>
      </c>
      <c r="J224" s="15">
        <f>SUM(C224-H224)</f>
        <v>12</v>
      </c>
      <c r="K224" s="640">
        <f>+M224-I224</f>
        <v>12.947999999999993</v>
      </c>
      <c r="L224" s="10"/>
      <c r="M224" s="10">
        <v>77.268000000000001</v>
      </c>
    </row>
    <row r="225" spans="1:13" s="1" customFormat="1" ht="21.95" customHeight="1">
      <c r="A225" s="1382"/>
      <c r="B225" s="194" t="s">
        <v>159</v>
      </c>
      <c r="C225" s="1383"/>
      <c r="D225" s="15"/>
      <c r="E225" s="15"/>
      <c r="F225" s="15"/>
      <c r="G225" s="15"/>
      <c r="H225" s="15">
        <f>SUM(D225:G225)</f>
        <v>0</v>
      </c>
      <c r="I225" s="639"/>
      <c r="J225" s="15"/>
      <c r="K225" s="640"/>
    </row>
    <row r="226" spans="1:13" s="1" customFormat="1" ht="21.95" customHeight="1">
      <c r="A226" s="1381" t="s">
        <v>144</v>
      </c>
      <c r="B226" s="194" t="s">
        <v>158</v>
      </c>
      <c r="C226" s="1383">
        <v>25</v>
      </c>
      <c r="D226" s="15">
        <v>12</v>
      </c>
      <c r="E226" s="15">
        <v>3</v>
      </c>
      <c r="F226" s="15"/>
      <c r="G226" s="15"/>
      <c r="H226" s="15">
        <f t="shared" ref="H226:H230" si="27">SUM(D226:G226)</f>
        <v>15</v>
      </c>
      <c r="I226" s="639">
        <v>30.998000000000001</v>
      </c>
      <c r="J226" s="15">
        <f>SUM(C226-H226)</f>
        <v>10</v>
      </c>
      <c r="K226" s="640">
        <f>+M226-I226</f>
        <v>16.651</v>
      </c>
      <c r="M226" s="1">
        <v>47.649000000000001</v>
      </c>
    </row>
    <row r="227" spans="1:13" s="1" customFormat="1" ht="21.95" customHeight="1">
      <c r="A227" s="1382"/>
      <c r="B227" s="194" t="s">
        <v>159</v>
      </c>
      <c r="C227" s="1383"/>
      <c r="D227" s="15"/>
      <c r="E227" s="15"/>
      <c r="F227" s="15"/>
      <c r="G227" s="15"/>
      <c r="H227" s="15">
        <f t="shared" si="27"/>
        <v>0</v>
      </c>
      <c r="I227" s="639"/>
      <c r="J227" s="15"/>
      <c r="K227" s="640"/>
    </row>
    <row r="228" spans="1:13" s="1" customFormat="1" ht="21.95" customHeight="1">
      <c r="A228" s="1381" t="s">
        <v>145</v>
      </c>
      <c r="B228" s="194" t="s">
        <v>158</v>
      </c>
      <c r="C228" s="1383">
        <v>56</v>
      </c>
      <c r="D228" s="15">
        <v>28</v>
      </c>
      <c r="E228" s="15">
        <v>8</v>
      </c>
      <c r="F228" s="15">
        <v>12</v>
      </c>
      <c r="G228" s="15">
        <v>2</v>
      </c>
      <c r="H228" s="15">
        <f t="shared" si="27"/>
        <v>50</v>
      </c>
      <c r="I228" s="639">
        <v>77.972999999999999</v>
      </c>
      <c r="J228" s="15">
        <f>SUM(C228-H228)</f>
        <v>6</v>
      </c>
      <c r="K228" s="640">
        <f>+M228-I228</f>
        <v>8.046999999999997</v>
      </c>
      <c r="M228" s="1">
        <v>86.02</v>
      </c>
    </row>
    <row r="229" spans="1:13" s="1" customFormat="1" ht="21.95" customHeight="1">
      <c r="A229" s="1382"/>
      <c r="B229" s="194" t="s">
        <v>159</v>
      </c>
      <c r="C229" s="1383"/>
      <c r="D229" s="15"/>
      <c r="E229" s="15"/>
      <c r="F229" s="15"/>
      <c r="G229" s="15"/>
      <c r="H229" s="15">
        <f t="shared" si="27"/>
        <v>0</v>
      </c>
      <c r="I229" s="639"/>
      <c r="J229" s="15"/>
      <c r="K229" s="640"/>
    </row>
    <row r="230" spans="1:13" s="1" customFormat="1" ht="21.95" customHeight="1">
      <c r="A230" s="602" t="s">
        <v>146</v>
      </c>
      <c r="B230" s="194" t="s">
        <v>158</v>
      </c>
      <c r="C230" s="604">
        <v>53</v>
      </c>
      <c r="D230" s="15">
        <v>3</v>
      </c>
      <c r="E230" s="15">
        <v>1</v>
      </c>
      <c r="F230" s="15">
        <v>23</v>
      </c>
      <c r="G230" s="15">
        <v>19</v>
      </c>
      <c r="H230" s="15">
        <f t="shared" si="27"/>
        <v>46</v>
      </c>
      <c r="I230" s="639">
        <v>54.359000000000002</v>
      </c>
      <c r="J230" s="15">
        <f>SUM(C230-H230)</f>
        <v>7</v>
      </c>
      <c r="K230" s="640">
        <f>+M230-I230</f>
        <v>6.2250000000000014</v>
      </c>
      <c r="M230" s="1">
        <v>60.584000000000003</v>
      </c>
    </row>
    <row r="231" spans="1:13" s="1" customFormat="1" ht="21.95" customHeight="1">
      <c r="A231" s="1384" t="s">
        <v>893</v>
      </c>
      <c r="B231" s="1385"/>
      <c r="C231" s="402">
        <f t="shared" ref="C231:K231" si="28">SUM(C224:C230)</f>
        <v>171</v>
      </c>
      <c r="D231" s="402">
        <f t="shared" si="28"/>
        <v>63</v>
      </c>
      <c r="E231" s="402">
        <f t="shared" si="28"/>
        <v>17</v>
      </c>
      <c r="F231" s="402">
        <f t="shared" si="28"/>
        <v>35</v>
      </c>
      <c r="G231" s="402">
        <f t="shared" si="28"/>
        <v>21</v>
      </c>
      <c r="H231" s="402">
        <f t="shared" si="28"/>
        <v>136</v>
      </c>
      <c r="I231" s="641">
        <f t="shared" si="28"/>
        <v>227.65</v>
      </c>
      <c r="J231" s="402">
        <f t="shared" si="28"/>
        <v>35</v>
      </c>
      <c r="K231" s="642">
        <f t="shared" si="28"/>
        <v>43.870999999999988</v>
      </c>
    </row>
    <row r="232" spans="1:13" s="1" customFormat="1" ht="12" customHeight="1">
      <c r="A232" s="1388"/>
      <c r="B232" s="1389"/>
      <c r="C232" s="1389"/>
      <c r="D232" s="1389"/>
      <c r="E232" s="1389"/>
      <c r="F232" s="1389"/>
      <c r="G232" s="1389"/>
      <c r="H232" s="1389"/>
      <c r="I232" s="1389"/>
      <c r="J232" s="1389"/>
      <c r="K232" s="1390"/>
    </row>
    <row r="233" spans="1:13" s="1" customFormat="1" ht="15" customHeight="1">
      <c r="A233" s="1391" t="s">
        <v>864</v>
      </c>
      <c r="B233" s="1386" t="s">
        <v>865</v>
      </c>
      <c r="C233" s="1386" t="s">
        <v>133</v>
      </c>
      <c r="D233" s="1392" t="str">
        <f>+$D$35</f>
        <v>Status during last FY 2017-18</v>
      </c>
      <c r="E233" s="1392"/>
      <c r="F233" s="1392"/>
      <c r="G233" s="1392"/>
      <c r="H233" s="1392"/>
      <c r="I233" s="1392"/>
      <c r="J233" s="1392"/>
      <c r="K233" s="1392"/>
    </row>
    <row r="234" spans="1:13" s="1" customFormat="1" ht="15" customHeight="1">
      <c r="A234" s="1391"/>
      <c r="B234" s="1386"/>
      <c r="C234" s="1386"/>
      <c r="D234" s="1393" t="s">
        <v>134</v>
      </c>
      <c r="E234" s="1393"/>
      <c r="F234" s="1393"/>
      <c r="G234" s="1393"/>
      <c r="H234" s="1393"/>
      <c r="I234" s="1393"/>
      <c r="J234" s="1393" t="s">
        <v>135</v>
      </c>
      <c r="K234" s="1394"/>
    </row>
    <row r="235" spans="1:13" s="1" customFormat="1" ht="15" customHeight="1">
      <c r="A235" s="1391"/>
      <c r="B235" s="1386"/>
      <c r="C235" s="1386"/>
      <c r="D235" s="1386" t="s">
        <v>136</v>
      </c>
      <c r="E235" s="1386"/>
      <c r="F235" s="1386" t="s">
        <v>137</v>
      </c>
      <c r="G235" s="1386"/>
      <c r="H235" s="1386" t="s">
        <v>138</v>
      </c>
      <c r="I235" s="1387" t="s">
        <v>866</v>
      </c>
      <c r="J235" s="1386" t="s">
        <v>139</v>
      </c>
      <c r="K235" s="1387" t="s">
        <v>866</v>
      </c>
    </row>
    <row r="236" spans="1:13" s="1" customFormat="1" ht="15" customHeight="1">
      <c r="A236" s="1391"/>
      <c r="B236" s="1386"/>
      <c r="C236" s="1386"/>
      <c r="D236" s="603" t="s">
        <v>140</v>
      </c>
      <c r="E236" s="603" t="s">
        <v>141</v>
      </c>
      <c r="F236" s="603" t="s">
        <v>140</v>
      </c>
      <c r="G236" s="603" t="s">
        <v>141</v>
      </c>
      <c r="H236" s="1386"/>
      <c r="I236" s="1387"/>
      <c r="J236" s="1386"/>
      <c r="K236" s="1387"/>
    </row>
    <row r="237" spans="1:13" s="1" customFormat="1" ht="21.95" customHeight="1">
      <c r="A237" s="1381" t="s">
        <v>143</v>
      </c>
      <c r="B237" s="194" t="s">
        <v>158</v>
      </c>
      <c r="C237" s="649">
        <v>36</v>
      </c>
      <c r="D237" s="15">
        <v>22</v>
      </c>
      <c r="E237" s="15">
        <v>5</v>
      </c>
      <c r="F237" s="15"/>
      <c r="G237" s="15"/>
      <c r="H237" s="15">
        <v>27</v>
      </c>
      <c r="I237" s="639">
        <v>66.596000000000004</v>
      </c>
      <c r="J237" s="15">
        <f>SUM(C237-H237)</f>
        <v>9</v>
      </c>
      <c r="K237" s="644">
        <v>16.048000000000002</v>
      </c>
    </row>
    <row r="238" spans="1:13" s="1" customFormat="1" ht="21.95" customHeight="1">
      <c r="A238" s="1382"/>
      <c r="B238" s="194" t="s">
        <v>159</v>
      </c>
      <c r="C238" s="650"/>
      <c r="D238" s="15"/>
      <c r="E238" s="15"/>
      <c r="F238" s="15"/>
      <c r="G238" s="15"/>
      <c r="H238" s="15">
        <v>0</v>
      </c>
      <c r="I238" s="639"/>
      <c r="J238" s="15"/>
      <c r="K238" s="644"/>
    </row>
    <row r="239" spans="1:13" s="1" customFormat="1" ht="21.95" customHeight="1">
      <c r="A239" s="1381" t="s">
        <v>144</v>
      </c>
      <c r="B239" s="194" t="s">
        <v>158</v>
      </c>
      <c r="C239" s="651">
        <v>27</v>
      </c>
      <c r="D239" s="15">
        <v>12</v>
      </c>
      <c r="E239" s="15">
        <v>3</v>
      </c>
      <c r="F239" s="15"/>
      <c r="G239" s="15">
        <v>1</v>
      </c>
      <c r="H239" s="15">
        <v>16</v>
      </c>
      <c r="I239" s="639">
        <v>31.919</v>
      </c>
      <c r="J239" s="15">
        <f>SUM(C239-H239)</f>
        <v>11</v>
      </c>
      <c r="K239" s="644">
        <v>17.065999999999999</v>
      </c>
    </row>
    <row r="240" spans="1:13" s="1" customFormat="1" ht="21.95" customHeight="1">
      <c r="A240" s="1382"/>
      <c r="B240" s="194" t="s">
        <v>159</v>
      </c>
      <c r="C240" s="650"/>
      <c r="D240" s="15"/>
      <c r="E240" s="15"/>
      <c r="F240" s="15"/>
      <c r="G240" s="15"/>
      <c r="H240" s="15">
        <v>0</v>
      </c>
      <c r="I240" s="639"/>
      <c r="J240" s="15"/>
      <c r="K240" s="644"/>
    </row>
    <row r="241" spans="1:13" s="1" customFormat="1" ht="21.95" customHeight="1">
      <c r="A241" s="1381" t="s">
        <v>145</v>
      </c>
      <c r="B241" s="194" t="s">
        <v>158</v>
      </c>
      <c r="C241" s="651">
        <v>54</v>
      </c>
      <c r="D241" s="15">
        <v>27</v>
      </c>
      <c r="E241" s="15">
        <v>8</v>
      </c>
      <c r="F241" s="15">
        <v>13</v>
      </c>
      <c r="G241" s="15">
        <v>2</v>
      </c>
      <c r="H241" s="15">
        <v>50</v>
      </c>
      <c r="I241" s="639">
        <v>71.635000000000005</v>
      </c>
      <c r="J241" s="15">
        <f>SUM(C241-H241)</f>
        <v>4</v>
      </c>
      <c r="K241" s="644">
        <v>4.8719999999999999</v>
      </c>
      <c r="L241" s="10"/>
      <c r="M241" s="10"/>
    </row>
    <row r="242" spans="1:13" s="1" customFormat="1" ht="21.95" customHeight="1">
      <c r="A242" s="1382"/>
      <c r="B242" s="194" t="s">
        <v>159</v>
      </c>
      <c r="C242" s="650"/>
      <c r="D242" s="15"/>
      <c r="E242" s="15"/>
      <c r="F242" s="15"/>
      <c r="G242" s="15"/>
      <c r="H242" s="15">
        <v>0</v>
      </c>
      <c r="I242" s="639"/>
      <c r="J242" s="15"/>
      <c r="K242" s="644"/>
      <c r="L242" s="10"/>
      <c r="M242" s="10"/>
    </row>
    <row r="243" spans="1:13" s="1" customFormat="1" ht="21.95" customHeight="1">
      <c r="A243" s="602" t="s">
        <v>146</v>
      </c>
      <c r="B243" s="194" t="s">
        <v>158</v>
      </c>
      <c r="C243" s="604">
        <v>52</v>
      </c>
      <c r="D243" s="15">
        <v>3</v>
      </c>
      <c r="E243" s="15">
        <v>1</v>
      </c>
      <c r="F243" s="15">
        <v>23</v>
      </c>
      <c r="G243" s="15">
        <v>19</v>
      </c>
      <c r="H243" s="15">
        <v>46</v>
      </c>
      <c r="I243" s="639">
        <v>49.872999999999998</v>
      </c>
      <c r="J243" s="15">
        <f>SUM(C243-H243)</f>
        <v>6</v>
      </c>
      <c r="K243" s="644">
        <v>4.8680000000000021</v>
      </c>
      <c r="L243" s="10"/>
      <c r="M243" s="10"/>
    </row>
    <row r="244" spans="1:13" s="1" customFormat="1" ht="21.95" customHeight="1">
      <c r="A244" s="1384" t="s">
        <v>893</v>
      </c>
      <c r="B244" s="1385"/>
      <c r="C244" s="402">
        <f t="shared" ref="C244:K244" si="29">SUM(C237:C243)</f>
        <v>169</v>
      </c>
      <c r="D244" s="402">
        <f t="shared" si="29"/>
        <v>64</v>
      </c>
      <c r="E244" s="402">
        <f t="shared" si="29"/>
        <v>17</v>
      </c>
      <c r="F244" s="402">
        <f t="shared" si="29"/>
        <v>36</v>
      </c>
      <c r="G244" s="402">
        <f t="shared" si="29"/>
        <v>22</v>
      </c>
      <c r="H244" s="402">
        <f t="shared" si="29"/>
        <v>139</v>
      </c>
      <c r="I244" s="641">
        <f t="shared" si="29"/>
        <v>220.023</v>
      </c>
      <c r="J244" s="402">
        <f t="shared" si="29"/>
        <v>30</v>
      </c>
      <c r="K244" s="642">
        <f t="shared" si="29"/>
        <v>42.854000000000006</v>
      </c>
      <c r="L244" s="10"/>
      <c r="M244" s="10"/>
    </row>
    <row r="245" spans="1:13" s="1" customFormat="1" ht="24.95" customHeight="1">
      <c r="A245" s="1396" t="s">
        <v>1304</v>
      </c>
      <c r="B245" s="1396"/>
      <c r="C245" s="1396"/>
      <c r="D245" s="1396"/>
      <c r="E245" s="1396"/>
      <c r="F245" s="1396"/>
      <c r="G245" s="1396"/>
      <c r="H245" s="1396"/>
      <c r="I245" s="1396"/>
      <c r="J245" s="1396"/>
      <c r="K245" s="1396"/>
      <c r="L245" s="10"/>
      <c r="M245" s="10"/>
    </row>
    <row r="246" spans="1:13" s="1" customFormat="1" ht="15" customHeight="1">
      <c r="A246" s="1391" t="s">
        <v>864</v>
      </c>
      <c r="B246" s="1386" t="s">
        <v>865</v>
      </c>
      <c r="C246" s="1386" t="s">
        <v>133</v>
      </c>
      <c r="D246" s="1392" t="str">
        <f>+$D$9</f>
        <v xml:space="preserve">Planned for next FY 2019-20 </v>
      </c>
      <c r="E246" s="1392"/>
      <c r="F246" s="1392"/>
      <c r="G246" s="1392"/>
      <c r="H246" s="1392"/>
      <c r="I246" s="1392"/>
      <c r="J246" s="1392"/>
      <c r="K246" s="1392"/>
      <c r="L246" s="10"/>
      <c r="M246" s="10"/>
    </row>
    <row r="247" spans="1:13" s="1" customFormat="1" ht="15" customHeight="1">
      <c r="A247" s="1391"/>
      <c r="B247" s="1386"/>
      <c r="C247" s="1386"/>
      <c r="D247" s="1395" t="s">
        <v>134</v>
      </c>
      <c r="E247" s="1395"/>
      <c r="F247" s="1395"/>
      <c r="G247" s="1395"/>
      <c r="H247" s="1395"/>
      <c r="I247" s="1395"/>
      <c r="J247" s="1395" t="s">
        <v>135</v>
      </c>
      <c r="K247" s="1392"/>
      <c r="L247" s="10"/>
      <c r="M247" s="10"/>
    </row>
    <row r="248" spans="1:13" s="1" customFormat="1" ht="15" customHeight="1">
      <c r="A248" s="1391"/>
      <c r="B248" s="1386"/>
      <c r="C248" s="1386"/>
      <c r="D248" s="1386" t="s">
        <v>136</v>
      </c>
      <c r="E248" s="1386"/>
      <c r="F248" s="1386" t="s">
        <v>137</v>
      </c>
      <c r="G248" s="1386"/>
      <c r="H248" s="1386" t="s">
        <v>138</v>
      </c>
      <c r="I248" s="1387" t="s">
        <v>866</v>
      </c>
      <c r="J248" s="1386" t="s">
        <v>139</v>
      </c>
      <c r="K248" s="1387" t="s">
        <v>866</v>
      </c>
      <c r="L248" s="10"/>
      <c r="M248" s="10"/>
    </row>
    <row r="249" spans="1:13" s="1" customFormat="1" ht="15" customHeight="1">
      <c r="A249" s="1391"/>
      <c r="B249" s="1386"/>
      <c r="C249" s="1386"/>
      <c r="D249" s="603" t="s">
        <v>140</v>
      </c>
      <c r="E249" s="603" t="s">
        <v>141</v>
      </c>
      <c r="F249" s="603" t="s">
        <v>140</v>
      </c>
      <c r="G249" s="603" t="s">
        <v>141</v>
      </c>
      <c r="H249" s="1386"/>
      <c r="I249" s="1387"/>
      <c r="J249" s="1386"/>
      <c r="K249" s="1387"/>
      <c r="L249" s="10"/>
      <c r="M249" s="10"/>
    </row>
    <row r="250" spans="1:13" s="1" customFormat="1" ht="21.95" customHeight="1">
      <c r="A250" s="1381" t="s">
        <v>143</v>
      </c>
      <c r="B250" s="194" t="s">
        <v>158</v>
      </c>
      <c r="C250" s="1383">
        <v>10</v>
      </c>
      <c r="D250" s="15">
        <v>4</v>
      </c>
      <c r="E250" s="15">
        <v>4</v>
      </c>
      <c r="F250" s="15"/>
      <c r="G250" s="15"/>
      <c r="H250" s="15">
        <f>SUM(D250:G250)</f>
        <v>8</v>
      </c>
      <c r="I250" s="639">
        <v>21.277000000000001</v>
      </c>
      <c r="J250" s="15">
        <f>SUM(C250-H250)</f>
        <v>2</v>
      </c>
      <c r="K250" s="640">
        <f>+K263</f>
        <v>3.8829999999999991</v>
      </c>
      <c r="L250" s="10"/>
      <c r="M250" s="10"/>
    </row>
    <row r="251" spans="1:13" s="1" customFormat="1" ht="21.95" customHeight="1">
      <c r="A251" s="1382"/>
      <c r="B251" s="194" t="s">
        <v>159</v>
      </c>
      <c r="C251" s="1383"/>
      <c r="D251" s="15"/>
      <c r="E251" s="15"/>
      <c r="F251" s="15"/>
      <c r="G251" s="15"/>
      <c r="H251" s="15">
        <f>SUM(D251:G251)</f>
        <v>0</v>
      </c>
      <c r="I251" s="639"/>
      <c r="J251" s="15"/>
      <c r="K251" s="640"/>
      <c r="L251" s="10"/>
      <c r="M251" s="10"/>
    </row>
    <row r="252" spans="1:13" s="1" customFormat="1" ht="21.95" customHeight="1">
      <c r="A252" s="1381" t="s">
        <v>144</v>
      </c>
      <c r="B252" s="194" t="s">
        <v>158</v>
      </c>
      <c r="C252" s="1383">
        <v>20</v>
      </c>
      <c r="D252" s="15">
        <v>1</v>
      </c>
      <c r="E252" s="15">
        <v>6</v>
      </c>
      <c r="F252" s="15">
        <v>3</v>
      </c>
      <c r="G252" s="15"/>
      <c r="H252" s="15">
        <f t="shared" ref="H252:H256" si="30">SUM(D252:G252)</f>
        <v>10</v>
      </c>
      <c r="I252" s="639">
        <v>23.951000000000001</v>
      </c>
      <c r="J252" s="15">
        <f>SUM(C252-H252)</f>
        <v>10</v>
      </c>
      <c r="K252" s="640">
        <f>+K265</f>
        <v>16.171000000000003</v>
      </c>
      <c r="L252" s="10"/>
      <c r="M252" s="10"/>
    </row>
    <row r="253" spans="1:13" s="1" customFormat="1" ht="21.95" customHeight="1">
      <c r="A253" s="1382"/>
      <c r="B253" s="194" t="s">
        <v>159</v>
      </c>
      <c r="C253" s="1383"/>
      <c r="D253" s="15"/>
      <c r="E253" s="15"/>
      <c r="F253" s="15"/>
      <c r="G253" s="15"/>
      <c r="H253" s="15">
        <f t="shared" si="30"/>
        <v>0</v>
      </c>
      <c r="I253" s="639"/>
      <c r="J253" s="15"/>
      <c r="K253" s="640"/>
      <c r="L253" s="10"/>
      <c r="M253" s="10"/>
    </row>
    <row r="254" spans="1:13" s="1" customFormat="1" ht="21.95" customHeight="1">
      <c r="A254" s="1381" t="s">
        <v>145</v>
      </c>
      <c r="B254" s="194" t="s">
        <v>158</v>
      </c>
      <c r="C254" s="1383">
        <v>35</v>
      </c>
      <c r="D254" s="15">
        <v>8</v>
      </c>
      <c r="E254" s="15">
        <v>5</v>
      </c>
      <c r="F254" s="15">
        <v>9</v>
      </c>
      <c r="G254" s="15">
        <v>12</v>
      </c>
      <c r="H254" s="15">
        <f t="shared" si="30"/>
        <v>34</v>
      </c>
      <c r="I254" s="639">
        <v>57.802</v>
      </c>
      <c r="J254" s="15">
        <f>SUM(C254-H254)</f>
        <v>1</v>
      </c>
      <c r="K254" s="640">
        <f>+K267</f>
        <v>1.2560000000000002</v>
      </c>
      <c r="L254" s="10"/>
      <c r="M254" s="10"/>
    </row>
    <row r="255" spans="1:13" s="1" customFormat="1" ht="21.95" customHeight="1">
      <c r="A255" s="1382"/>
      <c r="B255" s="194" t="s">
        <v>159</v>
      </c>
      <c r="C255" s="1383"/>
      <c r="D255" s="15"/>
      <c r="E255" s="15"/>
      <c r="F255" s="15"/>
      <c r="G255" s="15"/>
      <c r="H255" s="15">
        <f t="shared" si="30"/>
        <v>0</v>
      </c>
      <c r="I255" s="639"/>
      <c r="J255" s="15"/>
      <c r="K255" s="640"/>
      <c r="L255" s="10"/>
      <c r="M255" s="10"/>
    </row>
    <row r="256" spans="1:13" s="1" customFormat="1" ht="21.95" customHeight="1">
      <c r="A256" s="602" t="s">
        <v>146</v>
      </c>
      <c r="B256" s="194" t="s">
        <v>158</v>
      </c>
      <c r="C256" s="604">
        <v>60</v>
      </c>
      <c r="D256" s="15">
        <v>2</v>
      </c>
      <c r="E256" s="15">
        <v>6</v>
      </c>
      <c r="F256" s="15">
        <v>18</v>
      </c>
      <c r="G256" s="15">
        <v>33</v>
      </c>
      <c r="H256" s="15">
        <f t="shared" si="30"/>
        <v>59</v>
      </c>
      <c r="I256" s="639">
        <v>73.715999999999994</v>
      </c>
      <c r="J256" s="15">
        <f>SUM(C256-H256)</f>
        <v>1</v>
      </c>
      <c r="K256" s="640">
        <f>+K269</f>
        <v>0.87199999999999989</v>
      </c>
      <c r="L256" s="10"/>
      <c r="M256" s="10"/>
    </row>
    <row r="257" spans="1:13" s="1" customFormat="1" ht="21.95" customHeight="1">
      <c r="A257" s="1384" t="s">
        <v>893</v>
      </c>
      <c r="B257" s="1385"/>
      <c r="C257" s="402">
        <f t="shared" ref="C257:K257" si="31">SUM(C250:C256)</f>
        <v>125</v>
      </c>
      <c r="D257" s="402">
        <f t="shared" si="31"/>
        <v>15</v>
      </c>
      <c r="E257" s="402">
        <f t="shared" si="31"/>
        <v>21</v>
      </c>
      <c r="F257" s="402">
        <f t="shared" si="31"/>
        <v>30</v>
      </c>
      <c r="G257" s="402">
        <f t="shared" si="31"/>
        <v>45</v>
      </c>
      <c r="H257" s="402">
        <f t="shared" si="31"/>
        <v>111</v>
      </c>
      <c r="I257" s="641">
        <f t="shared" si="31"/>
        <v>176.74599999999998</v>
      </c>
      <c r="J257" s="402">
        <f t="shared" si="31"/>
        <v>14</v>
      </c>
      <c r="K257" s="642">
        <f t="shared" si="31"/>
        <v>22.182000000000002</v>
      </c>
    </row>
    <row r="258" spans="1:13" s="1" customFormat="1" ht="12" customHeight="1">
      <c r="A258" s="1388"/>
      <c r="B258" s="1389"/>
      <c r="C258" s="1389"/>
      <c r="D258" s="1389"/>
      <c r="E258" s="1389"/>
      <c r="F258" s="1389"/>
      <c r="G258" s="1389"/>
      <c r="H258" s="1389"/>
      <c r="I258" s="1389"/>
      <c r="J258" s="1389"/>
      <c r="K258" s="1390"/>
    </row>
    <row r="259" spans="1:13" s="1" customFormat="1" ht="15" customHeight="1">
      <c r="A259" s="1391" t="s">
        <v>864</v>
      </c>
      <c r="B259" s="1386" t="s">
        <v>865</v>
      </c>
      <c r="C259" s="1386" t="s">
        <v>133</v>
      </c>
      <c r="D259" s="1392" t="str">
        <f>+$D$22</f>
        <v>Status during current year 2018-19</v>
      </c>
      <c r="E259" s="1392"/>
      <c r="F259" s="1392"/>
      <c r="G259" s="1392"/>
      <c r="H259" s="1392"/>
      <c r="I259" s="1392"/>
      <c r="J259" s="1392"/>
      <c r="K259" s="1392"/>
    </row>
    <row r="260" spans="1:13" s="1" customFormat="1" ht="15" customHeight="1">
      <c r="A260" s="1391"/>
      <c r="B260" s="1386"/>
      <c r="C260" s="1386"/>
      <c r="D260" s="1393" t="s">
        <v>134</v>
      </c>
      <c r="E260" s="1393"/>
      <c r="F260" s="1393"/>
      <c r="G260" s="1393"/>
      <c r="H260" s="1393"/>
      <c r="I260" s="1393"/>
      <c r="J260" s="1393" t="s">
        <v>135</v>
      </c>
      <c r="K260" s="1394"/>
    </row>
    <row r="261" spans="1:13" s="1" customFormat="1" ht="15" customHeight="1">
      <c r="A261" s="1391"/>
      <c r="B261" s="1386"/>
      <c r="C261" s="1386"/>
      <c r="D261" s="1386" t="s">
        <v>136</v>
      </c>
      <c r="E261" s="1386"/>
      <c r="F261" s="1386" t="s">
        <v>137</v>
      </c>
      <c r="G261" s="1386"/>
      <c r="H261" s="1386" t="s">
        <v>138</v>
      </c>
      <c r="I261" s="1387" t="s">
        <v>866</v>
      </c>
      <c r="J261" s="1386" t="s">
        <v>139</v>
      </c>
      <c r="K261" s="1387" t="s">
        <v>866</v>
      </c>
    </row>
    <row r="262" spans="1:13" s="1" customFormat="1" ht="15" customHeight="1">
      <c r="A262" s="1391"/>
      <c r="B262" s="1386"/>
      <c r="C262" s="1386"/>
      <c r="D262" s="603" t="s">
        <v>140</v>
      </c>
      <c r="E262" s="603" t="s">
        <v>141</v>
      </c>
      <c r="F262" s="603" t="s">
        <v>140</v>
      </c>
      <c r="G262" s="603" t="s">
        <v>141</v>
      </c>
      <c r="H262" s="1386"/>
      <c r="I262" s="1387"/>
      <c r="J262" s="1386"/>
      <c r="K262" s="1387"/>
    </row>
    <row r="263" spans="1:13" s="1" customFormat="1" ht="21.95" customHeight="1">
      <c r="A263" s="1381" t="s">
        <v>143</v>
      </c>
      <c r="B263" s="194" t="s">
        <v>158</v>
      </c>
      <c r="C263" s="1383">
        <v>10</v>
      </c>
      <c r="D263" s="15">
        <v>4</v>
      </c>
      <c r="E263" s="15">
        <v>4</v>
      </c>
      <c r="F263" s="15"/>
      <c r="G263" s="15"/>
      <c r="H263" s="15">
        <f>SUM(D263:G263)</f>
        <v>8</v>
      </c>
      <c r="I263" s="639">
        <v>20.701000000000001</v>
      </c>
      <c r="J263" s="15">
        <f>SUM(C263-H263)</f>
        <v>2</v>
      </c>
      <c r="K263" s="640">
        <f>+M263-I263</f>
        <v>3.8829999999999991</v>
      </c>
      <c r="M263" s="1">
        <v>24.584</v>
      </c>
    </row>
    <row r="264" spans="1:13" s="1" customFormat="1" ht="21.95" customHeight="1">
      <c r="A264" s="1382"/>
      <c r="B264" s="194" t="s">
        <v>159</v>
      </c>
      <c r="C264" s="1383"/>
      <c r="D264" s="15"/>
      <c r="E264" s="15"/>
      <c r="F264" s="15"/>
      <c r="G264" s="15"/>
      <c r="H264" s="15">
        <f>SUM(D264:G264)</f>
        <v>0</v>
      </c>
      <c r="I264" s="639"/>
      <c r="J264" s="15"/>
      <c r="K264" s="640"/>
    </row>
    <row r="265" spans="1:13" s="1" customFormat="1" ht="21.95" customHeight="1">
      <c r="A265" s="1381" t="s">
        <v>144</v>
      </c>
      <c r="B265" s="194" t="s">
        <v>158</v>
      </c>
      <c r="C265" s="1383">
        <v>20</v>
      </c>
      <c r="D265" s="15">
        <v>1</v>
      </c>
      <c r="E265" s="15">
        <v>6</v>
      </c>
      <c r="F265" s="15">
        <v>3</v>
      </c>
      <c r="G265" s="15"/>
      <c r="H265" s="15">
        <f t="shared" ref="H265:H269" si="32">SUM(D265:G265)</f>
        <v>10</v>
      </c>
      <c r="I265" s="639">
        <v>23.300999999999998</v>
      </c>
      <c r="J265" s="15">
        <f>SUM(C265-H265)</f>
        <v>10</v>
      </c>
      <c r="K265" s="640">
        <f>+M265-I265</f>
        <v>16.171000000000003</v>
      </c>
      <c r="M265" s="1">
        <v>39.472000000000001</v>
      </c>
    </row>
    <row r="266" spans="1:13" s="1" customFormat="1" ht="21.95" customHeight="1">
      <c r="A266" s="1382"/>
      <c r="B266" s="194" t="s">
        <v>159</v>
      </c>
      <c r="C266" s="1383"/>
      <c r="D266" s="15"/>
      <c r="E266" s="15"/>
      <c r="F266" s="15"/>
      <c r="G266" s="15"/>
      <c r="H266" s="15">
        <f t="shared" si="32"/>
        <v>0</v>
      </c>
      <c r="I266" s="639"/>
      <c r="J266" s="15"/>
      <c r="K266" s="640"/>
    </row>
    <row r="267" spans="1:13" s="1" customFormat="1" ht="21.95" customHeight="1">
      <c r="A267" s="1381" t="s">
        <v>145</v>
      </c>
      <c r="B267" s="194" t="s">
        <v>158</v>
      </c>
      <c r="C267" s="1383">
        <v>35</v>
      </c>
      <c r="D267" s="15">
        <v>8</v>
      </c>
      <c r="E267" s="15">
        <v>5</v>
      </c>
      <c r="F267" s="15">
        <v>9</v>
      </c>
      <c r="G267" s="15">
        <v>12</v>
      </c>
      <c r="H267" s="15">
        <f t="shared" si="32"/>
        <v>34</v>
      </c>
      <c r="I267" s="639">
        <v>56.308999999999997</v>
      </c>
      <c r="J267" s="15">
        <f>SUM(C267-H267)</f>
        <v>1</v>
      </c>
      <c r="K267" s="640">
        <f>+M267-I267</f>
        <v>1.2560000000000002</v>
      </c>
      <c r="M267" s="1">
        <v>57.564999999999998</v>
      </c>
    </row>
    <row r="268" spans="1:13" s="1" customFormat="1" ht="21.95" customHeight="1">
      <c r="A268" s="1382"/>
      <c r="B268" s="194" t="s">
        <v>159</v>
      </c>
      <c r="C268" s="1383"/>
      <c r="D268" s="15"/>
      <c r="E268" s="15"/>
      <c r="F268" s="15"/>
      <c r="G268" s="15"/>
      <c r="H268" s="15">
        <f t="shared" si="32"/>
        <v>0</v>
      </c>
      <c r="I268" s="639"/>
      <c r="J268" s="15"/>
      <c r="K268" s="640"/>
    </row>
    <row r="269" spans="1:13" s="1" customFormat="1" ht="21.95" customHeight="1">
      <c r="A269" s="602" t="s">
        <v>146</v>
      </c>
      <c r="B269" s="194" t="s">
        <v>158</v>
      </c>
      <c r="C269" s="604">
        <v>60</v>
      </c>
      <c r="D269" s="15">
        <v>2</v>
      </c>
      <c r="E269" s="15">
        <v>6</v>
      </c>
      <c r="F269" s="15">
        <v>18</v>
      </c>
      <c r="G269" s="15">
        <v>33</v>
      </c>
      <c r="H269" s="15">
        <f t="shared" si="32"/>
        <v>59</v>
      </c>
      <c r="I269" s="639">
        <v>71.278000000000006</v>
      </c>
      <c r="J269" s="15">
        <f>SUM(C269-H269)</f>
        <v>1</v>
      </c>
      <c r="K269" s="640">
        <f>+M269-I269</f>
        <v>0.87199999999999989</v>
      </c>
      <c r="M269" s="1">
        <v>72.150000000000006</v>
      </c>
    </row>
    <row r="270" spans="1:13" s="1" customFormat="1" ht="21.95" customHeight="1">
      <c r="A270" s="1384" t="s">
        <v>893</v>
      </c>
      <c r="B270" s="1385"/>
      <c r="C270" s="402">
        <f t="shared" ref="C270:K270" si="33">SUM(C263:C269)</f>
        <v>125</v>
      </c>
      <c r="D270" s="402">
        <f t="shared" si="33"/>
        <v>15</v>
      </c>
      <c r="E270" s="402">
        <f t="shared" si="33"/>
        <v>21</v>
      </c>
      <c r="F270" s="402">
        <f t="shared" si="33"/>
        <v>30</v>
      </c>
      <c r="G270" s="402">
        <f t="shared" si="33"/>
        <v>45</v>
      </c>
      <c r="H270" s="402">
        <f t="shared" si="33"/>
        <v>111</v>
      </c>
      <c r="I270" s="641">
        <f t="shared" si="33"/>
        <v>171.589</v>
      </c>
      <c r="J270" s="402">
        <f t="shared" si="33"/>
        <v>14</v>
      </c>
      <c r="K270" s="642">
        <f t="shared" si="33"/>
        <v>22.182000000000002</v>
      </c>
    </row>
    <row r="271" spans="1:13" s="1" customFormat="1" ht="12" customHeight="1">
      <c r="A271" s="1388"/>
      <c r="B271" s="1389"/>
      <c r="C271" s="1389"/>
      <c r="D271" s="1389"/>
      <c r="E271" s="1389"/>
      <c r="F271" s="1389"/>
      <c r="G271" s="1389"/>
      <c r="H271" s="1389"/>
      <c r="I271" s="1389"/>
      <c r="J271" s="1389"/>
      <c r="K271" s="1390"/>
    </row>
    <row r="272" spans="1:13" s="1" customFormat="1" ht="15" customHeight="1">
      <c r="A272" s="1391" t="s">
        <v>864</v>
      </c>
      <c r="B272" s="1386" t="s">
        <v>865</v>
      </c>
      <c r="C272" s="1386" t="s">
        <v>133</v>
      </c>
      <c r="D272" s="1392" t="str">
        <f>+$D$35</f>
        <v>Status during last FY 2017-18</v>
      </c>
      <c r="E272" s="1392"/>
      <c r="F272" s="1392"/>
      <c r="G272" s="1392"/>
      <c r="H272" s="1392"/>
      <c r="I272" s="1392"/>
      <c r="J272" s="1392"/>
      <c r="K272" s="1392"/>
    </row>
    <row r="273" spans="1:11" s="1" customFormat="1" ht="15" customHeight="1">
      <c r="A273" s="1391"/>
      <c r="B273" s="1386"/>
      <c r="C273" s="1386"/>
      <c r="D273" s="1393" t="s">
        <v>134</v>
      </c>
      <c r="E273" s="1393"/>
      <c r="F273" s="1393"/>
      <c r="G273" s="1393"/>
      <c r="H273" s="1393"/>
      <c r="I273" s="1393"/>
      <c r="J273" s="1393" t="s">
        <v>135</v>
      </c>
      <c r="K273" s="1394"/>
    </row>
    <row r="274" spans="1:11" s="1" customFormat="1" ht="15" customHeight="1">
      <c r="A274" s="1391"/>
      <c r="B274" s="1386"/>
      <c r="C274" s="1386"/>
      <c r="D274" s="1386" t="s">
        <v>136</v>
      </c>
      <c r="E274" s="1386"/>
      <c r="F274" s="1386" t="s">
        <v>137</v>
      </c>
      <c r="G274" s="1386"/>
      <c r="H274" s="1386" t="s">
        <v>138</v>
      </c>
      <c r="I274" s="1387" t="s">
        <v>866</v>
      </c>
      <c r="J274" s="1386" t="s">
        <v>139</v>
      </c>
      <c r="K274" s="1387" t="s">
        <v>866</v>
      </c>
    </row>
    <row r="275" spans="1:11" s="1" customFormat="1" ht="15" customHeight="1">
      <c r="A275" s="1391"/>
      <c r="B275" s="1386"/>
      <c r="C275" s="1386"/>
      <c r="D275" s="603" t="s">
        <v>140</v>
      </c>
      <c r="E275" s="603" t="s">
        <v>141</v>
      </c>
      <c r="F275" s="603" t="s">
        <v>140</v>
      </c>
      <c r="G275" s="603" t="s">
        <v>141</v>
      </c>
      <c r="H275" s="1386"/>
      <c r="I275" s="1387"/>
      <c r="J275" s="1386"/>
      <c r="K275" s="1387"/>
    </row>
    <row r="276" spans="1:11" s="1" customFormat="1" ht="21.95" customHeight="1">
      <c r="A276" s="1381" t="s">
        <v>143</v>
      </c>
      <c r="B276" s="194" t="s">
        <v>158</v>
      </c>
      <c r="C276" s="649">
        <v>10</v>
      </c>
      <c r="D276" s="15">
        <v>4</v>
      </c>
      <c r="E276" s="15">
        <v>4</v>
      </c>
      <c r="F276" s="15"/>
      <c r="G276" s="15"/>
      <c r="H276" s="15">
        <v>8</v>
      </c>
      <c r="I276" s="639">
        <v>19.344000000000001</v>
      </c>
      <c r="J276" s="15">
        <f>SUM(C276-H276)</f>
        <v>2</v>
      </c>
      <c r="K276" s="644">
        <v>3.5589999999999975</v>
      </c>
    </row>
    <row r="277" spans="1:11" s="1" customFormat="1" ht="21.95" customHeight="1">
      <c r="A277" s="1382"/>
      <c r="B277" s="194" t="s">
        <v>159</v>
      </c>
      <c r="C277" s="650"/>
      <c r="D277" s="15"/>
      <c r="E277" s="15"/>
      <c r="F277" s="15"/>
      <c r="G277" s="15"/>
      <c r="H277" s="15">
        <v>0</v>
      </c>
      <c r="I277" s="639"/>
      <c r="J277" s="15"/>
      <c r="K277" s="644"/>
    </row>
    <row r="278" spans="1:11" s="1" customFormat="1" ht="21.95" customHeight="1">
      <c r="A278" s="1381" t="s">
        <v>144</v>
      </c>
      <c r="B278" s="194" t="s">
        <v>158</v>
      </c>
      <c r="C278" s="651">
        <v>20</v>
      </c>
      <c r="D278" s="15">
        <v>1</v>
      </c>
      <c r="E278" s="15">
        <v>4</v>
      </c>
      <c r="F278" s="15">
        <v>3</v>
      </c>
      <c r="G278" s="15">
        <v>3</v>
      </c>
      <c r="H278" s="15">
        <v>11</v>
      </c>
      <c r="I278" s="639">
        <v>23.329000000000001</v>
      </c>
      <c r="J278" s="15">
        <f>SUM(C278-H278)</f>
        <v>9</v>
      </c>
      <c r="K278" s="644">
        <v>13.415999999999997</v>
      </c>
    </row>
    <row r="279" spans="1:11" s="1" customFormat="1" ht="21.95" customHeight="1">
      <c r="A279" s="1382"/>
      <c r="B279" s="194" t="s">
        <v>159</v>
      </c>
      <c r="C279" s="650"/>
      <c r="D279" s="15"/>
      <c r="E279" s="15"/>
      <c r="F279" s="15"/>
      <c r="G279" s="15"/>
      <c r="H279" s="15">
        <v>0</v>
      </c>
      <c r="I279" s="639"/>
      <c r="J279" s="15"/>
      <c r="K279" s="644"/>
    </row>
    <row r="280" spans="1:11" s="1" customFormat="1" ht="21.95" customHeight="1">
      <c r="A280" s="1381" t="s">
        <v>145</v>
      </c>
      <c r="B280" s="194" t="s">
        <v>158</v>
      </c>
      <c r="C280" s="651">
        <v>36</v>
      </c>
      <c r="D280" s="15">
        <v>8</v>
      </c>
      <c r="E280" s="15">
        <v>5</v>
      </c>
      <c r="F280" s="15">
        <v>9</v>
      </c>
      <c r="G280" s="15">
        <v>13</v>
      </c>
      <c r="H280" s="15">
        <v>35</v>
      </c>
      <c r="I280" s="639">
        <v>53.295999999999999</v>
      </c>
      <c r="J280" s="15">
        <f>SUM(C280-H280)</f>
        <v>1</v>
      </c>
      <c r="K280" s="644">
        <v>1.1600000000000037</v>
      </c>
    </row>
    <row r="281" spans="1:11" s="1" customFormat="1" ht="21.95" customHeight="1">
      <c r="A281" s="1382"/>
      <c r="B281" s="194" t="s">
        <v>159</v>
      </c>
      <c r="C281" s="650"/>
      <c r="D281" s="15"/>
      <c r="E281" s="15"/>
      <c r="F281" s="15"/>
      <c r="G281" s="15"/>
      <c r="H281" s="15">
        <v>0</v>
      </c>
      <c r="I281" s="639"/>
      <c r="J281" s="15"/>
      <c r="K281" s="644"/>
    </row>
    <row r="282" spans="1:11" s="1" customFormat="1" ht="21.95" customHeight="1">
      <c r="A282" s="602" t="s">
        <v>146</v>
      </c>
      <c r="B282" s="194" t="s">
        <v>158</v>
      </c>
      <c r="C282" s="604">
        <v>59</v>
      </c>
      <c r="D282" s="15">
        <v>1</v>
      </c>
      <c r="E282" s="15">
        <v>1</v>
      </c>
      <c r="F282" s="15">
        <v>19</v>
      </c>
      <c r="G282" s="15">
        <v>37</v>
      </c>
      <c r="H282" s="15">
        <v>58</v>
      </c>
      <c r="I282" s="639">
        <v>63.280999999999999</v>
      </c>
      <c r="J282" s="15">
        <f>SUM(C282-H282)</f>
        <v>1</v>
      </c>
      <c r="K282" s="644">
        <v>0.79100000000000392</v>
      </c>
    </row>
    <row r="283" spans="1:11" s="1" customFormat="1" ht="21.95" customHeight="1">
      <c r="A283" s="1384" t="s">
        <v>893</v>
      </c>
      <c r="B283" s="1385"/>
      <c r="C283" s="402">
        <f t="shared" ref="C283:K283" si="34">SUM(C276:C282)</f>
        <v>125</v>
      </c>
      <c r="D283" s="402">
        <f t="shared" si="34"/>
        <v>14</v>
      </c>
      <c r="E283" s="402">
        <f t="shared" si="34"/>
        <v>14</v>
      </c>
      <c r="F283" s="402">
        <f t="shared" si="34"/>
        <v>31</v>
      </c>
      <c r="G283" s="402">
        <f t="shared" si="34"/>
        <v>53</v>
      </c>
      <c r="H283" s="402">
        <f t="shared" si="34"/>
        <v>112</v>
      </c>
      <c r="I283" s="641">
        <f t="shared" si="34"/>
        <v>159.25</v>
      </c>
      <c r="J283" s="402">
        <f t="shared" si="34"/>
        <v>13</v>
      </c>
      <c r="K283" s="642">
        <f t="shared" si="34"/>
        <v>18.926000000000002</v>
      </c>
    </row>
    <row r="284" spans="1:11" s="1" customFormat="1" ht="24.95" customHeight="1">
      <c r="A284" s="1396" t="s">
        <v>1305</v>
      </c>
      <c r="B284" s="1396"/>
      <c r="C284" s="1396"/>
      <c r="D284" s="1396"/>
      <c r="E284" s="1396"/>
      <c r="F284" s="1396"/>
      <c r="G284" s="1396"/>
      <c r="H284" s="1396"/>
      <c r="I284" s="1396"/>
      <c r="J284" s="1396"/>
      <c r="K284" s="1396"/>
    </row>
    <row r="285" spans="1:11" s="1" customFormat="1" ht="15" customHeight="1">
      <c r="A285" s="1391" t="s">
        <v>864</v>
      </c>
      <c r="B285" s="1386" t="s">
        <v>865</v>
      </c>
      <c r="C285" s="1386" t="s">
        <v>133</v>
      </c>
      <c r="D285" s="1392" t="str">
        <f>+$D$9</f>
        <v xml:space="preserve">Planned for next FY 2019-20 </v>
      </c>
      <c r="E285" s="1392"/>
      <c r="F285" s="1392"/>
      <c r="G285" s="1392"/>
      <c r="H285" s="1392"/>
      <c r="I285" s="1392"/>
      <c r="J285" s="1392"/>
      <c r="K285" s="1392"/>
    </row>
    <row r="286" spans="1:11" s="1" customFormat="1" ht="15" customHeight="1">
      <c r="A286" s="1391"/>
      <c r="B286" s="1386"/>
      <c r="C286" s="1386"/>
      <c r="D286" s="1395" t="s">
        <v>134</v>
      </c>
      <c r="E286" s="1395"/>
      <c r="F286" s="1395"/>
      <c r="G286" s="1395"/>
      <c r="H286" s="1395"/>
      <c r="I286" s="1395"/>
      <c r="J286" s="1395" t="s">
        <v>135</v>
      </c>
      <c r="K286" s="1392"/>
    </row>
    <row r="287" spans="1:11" s="1" customFormat="1" ht="15" customHeight="1">
      <c r="A287" s="1391"/>
      <c r="B287" s="1386"/>
      <c r="C287" s="1386"/>
      <c r="D287" s="1386" t="s">
        <v>136</v>
      </c>
      <c r="E287" s="1386"/>
      <c r="F287" s="1386" t="s">
        <v>137</v>
      </c>
      <c r="G287" s="1386"/>
      <c r="H287" s="1386" t="s">
        <v>138</v>
      </c>
      <c r="I287" s="1387" t="s">
        <v>866</v>
      </c>
      <c r="J287" s="1386" t="s">
        <v>139</v>
      </c>
      <c r="K287" s="1387" t="s">
        <v>866</v>
      </c>
    </row>
    <row r="288" spans="1:11" s="1" customFormat="1" ht="15" customHeight="1">
      <c r="A288" s="1391"/>
      <c r="B288" s="1386"/>
      <c r="C288" s="1386"/>
      <c r="D288" s="603" t="s">
        <v>140</v>
      </c>
      <c r="E288" s="603" t="s">
        <v>141</v>
      </c>
      <c r="F288" s="603" t="s">
        <v>140</v>
      </c>
      <c r="G288" s="603" t="s">
        <v>141</v>
      </c>
      <c r="H288" s="1386"/>
      <c r="I288" s="1387"/>
      <c r="J288" s="1386"/>
      <c r="K288" s="1387"/>
    </row>
    <row r="289" spans="1:13" s="1" customFormat="1" ht="21.95" customHeight="1">
      <c r="A289" s="1381" t="s">
        <v>143</v>
      </c>
      <c r="B289" s="194" t="s">
        <v>158</v>
      </c>
      <c r="C289" s="1383">
        <v>6</v>
      </c>
      <c r="D289" s="15"/>
      <c r="E289" s="15">
        <v>4</v>
      </c>
      <c r="F289" s="15"/>
      <c r="G289" s="15"/>
      <c r="H289" s="15">
        <f>SUM(D289:G289)</f>
        <v>4</v>
      </c>
      <c r="I289" s="639">
        <v>11.847</v>
      </c>
      <c r="J289" s="15">
        <f>SUM(C289-H289)</f>
        <v>2</v>
      </c>
      <c r="K289" s="640">
        <f>+K302</f>
        <v>3.673</v>
      </c>
      <c r="L289" s="10"/>
      <c r="M289" s="10"/>
    </row>
    <row r="290" spans="1:13" s="1" customFormat="1" ht="21.95" customHeight="1">
      <c r="A290" s="1382"/>
      <c r="B290" s="194" t="s">
        <v>159</v>
      </c>
      <c r="C290" s="1383"/>
      <c r="D290" s="15"/>
      <c r="E290" s="15"/>
      <c r="F290" s="15"/>
      <c r="G290" s="15"/>
      <c r="H290" s="15">
        <f>SUM(D290:G290)</f>
        <v>0</v>
      </c>
      <c r="I290" s="639"/>
      <c r="J290" s="15"/>
      <c r="K290" s="640"/>
      <c r="L290" s="10"/>
      <c r="M290" s="10"/>
    </row>
    <row r="291" spans="1:13" s="1" customFormat="1" ht="21.95" customHeight="1">
      <c r="A291" s="1381" t="s">
        <v>144</v>
      </c>
      <c r="B291" s="194" t="s">
        <v>158</v>
      </c>
      <c r="C291" s="1383">
        <v>20</v>
      </c>
      <c r="D291" s="15"/>
      <c r="E291" s="15">
        <v>6</v>
      </c>
      <c r="F291" s="15"/>
      <c r="G291" s="15">
        <v>3</v>
      </c>
      <c r="H291" s="15">
        <f t="shared" ref="H291:H295" si="35">SUM(D291:G291)</f>
        <v>9</v>
      </c>
      <c r="I291" s="639">
        <v>22.544</v>
      </c>
      <c r="J291" s="15">
        <f>SUM(C291-H291)</f>
        <v>11</v>
      </c>
      <c r="K291" s="640">
        <f>+K304</f>
        <v>17.413999999999998</v>
      </c>
      <c r="L291" s="10"/>
      <c r="M291" s="10"/>
    </row>
    <row r="292" spans="1:13" s="1" customFormat="1" ht="21.95" customHeight="1">
      <c r="A292" s="1382"/>
      <c r="B292" s="194" t="s">
        <v>159</v>
      </c>
      <c r="C292" s="1383"/>
      <c r="D292" s="15"/>
      <c r="E292" s="15"/>
      <c r="F292" s="15"/>
      <c r="G292" s="15"/>
      <c r="H292" s="15">
        <f t="shared" si="35"/>
        <v>0</v>
      </c>
      <c r="I292" s="639"/>
      <c r="J292" s="15"/>
      <c r="K292" s="640"/>
      <c r="L292" s="10"/>
      <c r="M292" s="10"/>
    </row>
    <row r="293" spans="1:13" s="1" customFormat="1" ht="21.95" customHeight="1">
      <c r="A293" s="1381" t="s">
        <v>145</v>
      </c>
      <c r="B293" s="194" t="s">
        <v>158</v>
      </c>
      <c r="C293" s="1383">
        <v>19</v>
      </c>
      <c r="D293" s="15"/>
      <c r="E293" s="15">
        <v>7</v>
      </c>
      <c r="F293" s="15"/>
      <c r="G293" s="15">
        <v>12</v>
      </c>
      <c r="H293" s="15">
        <f t="shared" si="35"/>
        <v>19</v>
      </c>
      <c r="I293" s="639">
        <v>31.818000000000001</v>
      </c>
      <c r="J293" s="15">
        <f>SUM(C293-H293)</f>
        <v>0</v>
      </c>
      <c r="K293" s="640">
        <f>+K306</f>
        <v>0</v>
      </c>
      <c r="L293" s="10"/>
      <c r="M293" s="10"/>
    </row>
    <row r="294" spans="1:13" s="1" customFormat="1" ht="21.95" customHeight="1">
      <c r="A294" s="1382"/>
      <c r="B294" s="194" t="s">
        <v>159</v>
      </c>
      <c r="C294" s="1383"/>
      <c r="D294" s="15"/>
      <c r="E294" s="15"/>
      <c r="F294" s="15"/>
      <c r="G294" s="15"/>
      <c r="H294" s="15">
        <f t="shared" si="35"/>
        <v>0</v>
      </c>
      <c r="I294" s="639"/>
      <c r="J294" s="15"/>
      <c r="K294" s="640"/>
      <c r="L294" s="10"/>
      <c r="M294" s="10"/>
    </row>
    <row r="295" spans="1:13" s="1" customFormat="1" ht="21.95" customHeight="1">
      <c r="A295" s="602" t="s">
        <v>146</v>
      </c>
      <c r="B295" s="194" t="s">
        <v>158</v>
      </c>
      <c r="C295" s="604">
        <v>23</v>
      </c>
      <c r="D295" s="15"/>
      <c r="E295" s="15"/>
      <c r="F295" s="15"/>
      <c r="G295" s="15">
        <v>20</v>
      </c>
      <c r="H295" s="15">
        <f t="shared" si="35"/>
        <v>20</v>
      </c>
      <c r="I295" s="639">
        <v>23.117000000000001</v>
      </c>
      <c r="J295" s="15">
        <f>SUM(C295-H295)</f>
        <v>3</v>
      </c>
      <c r="K295" s="640">
        <f>+K308</f>
        <v>2.6230000000000011</v>
      </c>
      <c r="L295" s="10"/>
      <c r="M295" s="10"/>
    </row>
    <row r="296" spans="1:13" s="1" customFormat="1" ht="21.95" customHeight="1">
      <c r="A296" s="1384" t="s">
        <v>893</v>
      </c>
      <c r="B296" s="1385"/>
      <c r="C296" s="402">
        <f t="shared" ref="C296:K296" si="36">SUM(C289:C295)</f>
        <v>68</v>
      </c>
      <c r="D296" s="402">
        <f t="shared" si="36"/>
        <v>0</v>
      </c>
      <c r="E296" s="402">
        <f t="shared" si="36"/>
        <v>17</v>
      </c>
      <c r="F296" s="402">
        <f t="shared" si="36"/>
        <v>0</v>
      </c>
      <c r="G296" s="402">
        <f t="shared" si="36"/>
        <v>35</v>
      </c>
      <c r="H296" s="402">
        <f t="shared" si="36"/>
        <v>52</v>
      </c>
      <c r="I296" s="641">
        <f t="shared" si="36"/>
        <v>89.326000000000008</v>
      </c>
      <c r="J296" s="402">
        <f t="shared" si="36"/>
        <v>16</v>
      </c>
      <c r="K296" s="642">
        <f t="shared" si="36"/>
        <v>23.709999999999997</v>
      </c>
      <c r="L296" s="10"/>
      <c r="M296" s="10"/>
    </row>
    <row r="297" spans="1:13" s="1" customFormat="1" ht="12" customHeight="1">
      <c r="A297" s="1388"/>
      <c r="B297" s="1389"/>
      <c r="C297" s="1389"/>
      <c r="D297" s="1389"/>
      <c r="E297" s="1389"/>
      <c r="F297" s="1389"/>
      <c r="G297" s="1389"/>
      <c r="H297" s="1389"/>
      <c r="I297" s="1389"/>
      <c r="J297" s="1389"/>
      <c r="K297" s="1390"/>
      <c r="L297" s="10"/>
      <c r="M297" s="10"/>
    </row>
    <row r="298" spans="1:13" s="1" customFormat="1" ht="15" customHeight="1">
      <c r="A298" s="1391" t="s">
        <v>864</v>
      </c>
      <c r="B298" s="1386" t="s">
        <v>865</v>
      </c>
      <c r="C298" s="1386" t="s">
        <v>133</v>
      </c>
      <c r="D298" s="1392" t="str">
        <f>+$D$22</f>
        <v>Status during current year 2018-19</v>
      </c>
      <c r="E298" s="1392"/>
      <c r="F298" s="1392"/>
      <c r="G298" s="1392"/>
      <c r="H298" s="1392"/>
      <c r="I298" s="1392"/>
      <c r="J298" s="1392"/>
      <c r="K298" s="1392"/>
      <c r="L298" s="10"/>
      <c r="M298" s="10"/>
    </row>
    <row r="299" spans="1:13" s="1" customFormat="1" ht="15" customHeight="1">
      <c r="A299" s="1391"/>
      <c r="B299" s="1386"/>
      <c r="C299" s="1386"/>
      <c r="D299" s="1393" t="s">
        <v>134</v>
      </c>
      <c r="E299" s="1393"/>
      <c r="F299" s="1393"/>
      <c r="G299" s="1393"/>
      <c r="H299" s="1393"/>
      <c r="I299" s="1393"/>
      <c r="J299" s="1393" t="s">
        <v>135</v>
      </c>
      <c r="K299" s="1394"/>
      <c r="L299" s="10"/>
      <c r="M299" s="10"/>
    </row>
    <row r="300" spans="1:13" s="1" customFormat="1" ht="15" customHeight="1">
      <c r="A300" s="1391"/>
      <c r="B300" s="1386"/>
      <c r="C300" s="1386"/>
      <c r="D300" s="1386" t="s">
        <v>136</v>
      </c>
      <c r="E300" s="1386"/>
      <c r="F300" s="1386" t="s">
        <v>137</v>
      </c>
      <c r="G300" s="1386"/>
      <c r="H300" s="1386" t="s">
        <v>138</v>
      </c>
      <c r="I300" s="1387" t="s">
        <v>866</v>
      </c>
      <c r="J300" s="1386" t="s">
        <v>139</v>
      </c>
      <c r="K300" s="1387" t="s">
        <v>866</v>
      </c>
      <c r="L300" s="10"/>
      <c r="M300" s="10"/>
    </row>
    <row r="301" spans="1:13" s="1" customFormat="1" ht="15" customHeight="1">
      <c r="A301" s="1391"/>
      <c r="B301" s="1386"/>
      <c r="C301" s="1386"/>
      <c r="D301" s="603" t="s">
        <v>140</v>
      </c>
      <c r="E301" s="603" t="s">
        <v>141</v>
      </c>
      <c r="F301" s="603" t="s">
        <v>140</v>
      </c>
      <c r="G301" s="603" t="s">
        <v>141</v>
      </c>
      <c r="H301" s="1386"/>
      <c r="I301" s="1387"/>
      <c r="J301" s="1386"/>
      <c r="K301" s="1387"/>
      <c r="L301" s="10"/>
      <c r="M301" s="10"/>
    </row>
    <row r="302" spans="1:13" s="1" customFormat="1" ht="21.95" customHeight="1">
      <c r="A302" s="1381" t="s">
        <v>143</v>
      </c>
      <c r="B302" s="194" t="s">
        <v>158</v>
      </c>
      <c r="C302" s="1383">
        <v>6</v>
      </c>
      <c r="D302" s="15"/>
      <c r="E302" s="15">
        <v>4</v>
      </c>
      <c r="F302" s="15"/>
      <c r="G302" s="15"/>
      <c r="H302" s="15">
        <f>SUM(D302:G302)</f>
        <v>4</v>
      </c>
      <c r="I302" s="639">
        <v>11.558999999999999</v>
      </c>
      <c r="J302" s="15">
        <f>SUM(C302-H302)</f>
        <v>2</v>
      </c>
      <c r="K302" s="640">
        <f>+M302-I302</f>
        <v>3.673</v>
      </c>
      <c r="L302" s="10"/>
      <c r="M302" s="10">
        <v>15.231999999999999</v>
      </c>
    </row>
    <row r="303" spans="1:13" s="1" customFormat="1" ht="21.95" customHeight="1">
      <c r="A303" s="1382"/>
      <c r="B303" s="194" t="s">
        <v>159</v>
      </c>
      <c r="C303" s="1383"/>
      <c r="D303" s="15"/>
      <c r="E303" s="15"/>
      <c r="F303" s="15"/>
      <c r="G303" s="15"/>
      <c r="H303" s="15">
        <f>SUM(D303:G303)</f>
        <v>0</v>
      </c>
      <c r="I303" s="639"/>
      <c r="J303" s="15"/>
      <c r="K303" s="640"/>
      <c r="L303" s="10"/>
      <c r="M303" s="10"/>
    </row>
    <row r="304" spans="1:13" s="1" customFormat="1" ht="21.95" customHeight="1">
      <c r="A304" s="1381" t="s">
        <v>144</v>
      </c>
      <c r="B304" s="194" t="s">
        <v>158</v>
      </c>
      <c r="C304" s="1383">
        <v>20</v>
      </c>
      <c r="D304" s="15"/>
      <c r="E304" s="15">
        <v>6</v>
      </c>
      <c r="F304" s="15"/>
      <c r="G304" s="15">
        <v>3</v>
      </c>
      <c r="H304" s="15">
        <f t="shared" ref="H304:H308" si="37">SUM(D304:G304)</f>
        <v>9</v>
      </c>
      <c r="I304" s="639">
        <v>21.959</v>
      </c>
      <c r="J304" s="15">
        <f>SUM(C304-H304)</f>
        <v>11</v>
      </c>
      <c r="K304" s="640">
        <f>+M304-I304</f>
        <v>17.413999999999998</v>
      </c>
      <c r="L304" s="10"/>
      <c r="M304" s="10">
        <v>39.372999999999998</v>
      </c>
    </row>
    <row r="305" spans="1:13" s="1" customFormat="1" ht="21.95" customHeight="1">
      <c r="A305" s="1382"/>
      <c r="B305" s="194" t="s">
        <v>159</v>
      </c>
      <c r="C305" s="1383"/>
      <c r="D305" s="15"/>
      <c r="E305" s="15"/>
      <c r="F305" s="15"/>
      <c r="G305" s="15"/>
      <c r="H305" s="15">
        <f t="shared" si="37"/>
        <v>0</v>
      </c>
      <c r="I305" s="639"/>
      <c r="J305" s="15"/>
      <c r="K305" s="640"/>
    </row>
    <row r="306" spans="1:13" s="1" customFormat="1" ht="21.95" customHeight="1">
      <c r="A306" s="1381" t="s">
        <v>145</v>
      </c>
      <c r="B306" s="194" t="s">
        <v>158</v>
      </c>
      <c r="C306" s="1383">
        <v>19</v>
      </c>
      <c r="D306" s="15"/>
      <c r="E306" s="15">
        <v>7</v>
      </c>
      <c r="F306" s="15"/>
      <c r="G306" s="15">
        <v>12</v>
      </c>
      <c r="H306" s="15">
        <f t="shared" si="37"/>
        <v>19</v>
      </c>
      <c r="I306" s="639">
        <v>30.983000000000001</v>
      </c>
      <c r="J306" s="15">
        <f>SUM(C306-H306)</f>
        <v>0</v>
      </c>
      <c r="K306" s="640">
        <f>+M306-I306</f>
        <v>0</v>
      </c>
      <c r="M306" s="634">
        <f>+I306</f>
        <v>30.983000000000001</v>
      </c>
    </row>
    <row r="307" spans="1:13" s="1" customFormat="1" ht="21.95" customHeight="1">
      <c r="A307" s="1382"/>
      <c r="B307" s="194" t="s">
        <v>159</v>
      </c>
      <c r="C307" s="1383"/>
      <c r="D307" s="15"/>
      <c r="E307" s="15"/>
      <c r="F307" s="15"/>
      <c r="G307" s="15"/>
      <c r="H307" s="15">
        <f t="shared" si="37"/>
        <v>0</v>
      </c>
      <c r="I307" s="639"/>
      <c r="J307" s="15"/>
      <c r="K307" s="640"/>
    </row>
    <row r="308" spans="1:13" s="1" customFormat="1" ht="21.95" customHeight="1">
      <c r="A308" s="602" t="s">
        <v>146</v>
      </c>
      <c r="B308" s="194" t="s">
        <v>158</v>
      </c>
      <c r="C308" s="604">
        <v>23</v>
      </c>
      <c r="D308" s="15"/>
      <c r="E308" s="15"/>
      <c r="F308" s="15"/>
      <c r="G308" s="15">
        <v>20</v>
      </c>
      <c r="H308" s="15">
        <f t="shared" si="37"/>
        <v>20</v>
      </c>
      <c r="I308" s="639">
        <v>22.29</v>
      </c>
      <c r="J308" s="15">
        <f>SUM(C308-H308)</f>
        <v>3</v>
      </c>
      <c r="K308" s="640">
        <f>+M308-I308</f>
        <v>2.6230000000000011</v>
      </c>
      <c r="M308" s="634">
        <v>24.913</v>
      </c>
    </row>
    <row r="309" spans="1:13" s="1" customFormat="1" ht="21.95" customHeight="1">
      <c r="A309" s="1384" t="s">
        <v>893</v>
      </c>
      <c r="B309" s="1385"/>
      <c r="C309" s="402">
        <f t="shared" ref="C309:K309" si="38">SUM(C302:C308)</f>
        <v>68</v>
      </c>
      <c r="D309" s="402">
        <f t="shared" si="38"/>
        <v>0</v>
      </c>
      <c r="E309" s="402">
        <f t="shared" si="38"/>
        <v>17</v>
      </c>
      <c r="F309" s="402">
        <f t="shared" si="38"/>
        <v>0</v>
      </c>
      <c r="G309" s="402">
        <f t="shared" si="38"/>
        <v>35</v>
      </c>
      <c r="H309" s="402">
        <f t="shared" si="38"/>
        <v>52</v>
      </c>
      <c r="I309" s="641">
        <f t="shared" si="38"/>
        <v>86.790999999999997</v>
      </c>
      <c r="J309" s="402">
        <f t="shared" si="38"/>
        <v>16</v>
      </c>
      <c r="K309" s="642">
        <f t="shared" si="38"/>
        <v>23.709999999999997</v>
      </c>
    </row>
    <row r="310" spans="1:13" s="1" customFormat="1" ht="12" customHeight="1">
      <c r="A310" s="1388"/>
      <c r="B310" s="1389"/>
      <c r="C310" s="1389"/>
      <c r="D310" s="1389"/>
      <c r="E310" s="1389"/>
      <c r="F310" s="1389"/>
      <c r="G310" s="1389"/>
      <c r="H310" s="1389"/>
      <c r="I310" s="1389"/>
      <c r="J310" s="1389"/>
      <c r="K310" s="1390"/>
    </row>
    <row r="311" spans="1:13" s="1" customFormat="1" ht="15" customHeight="1">
      <c r="A311" s="1391" t="s">
        <v>864</v>
      </c>
      <c r="B311" s="1386" t="s">
        <v>865</v>
      </c>
      <c r="C311" s="1386" t="s">
        <v>133</v>
      </c>
      <c r="D311" s="1392" t="str">
        <f>+$D$35</f>
        <v>Status during last FY 2017-18</v>
      </c>
      <c r="E311" s="1392"/>
      <c r="F311" s="1392"/>
      <c r="G311" s="1392"/>
      <c r="H311" s="1392"/>
      <c r="I311" s="1392"/>
      <c r="J311" s="1392"/>
      <c r="K311" s="1392"/>
    </row>
    <row r="312" spans="1:13" s="1" customFormat="1" ht="15" customHeight="1">
      <c r="A312" s="1391"/>
      <c r="B312" s="1386"/>
      <c r="C312" s="1386"/>
      <c r="D312" s="1393" t="s">
        <v>134</v>
      </c>
      <c r="E312" s="1393"/>
      <c r="F312" s="1393"/>
      <c r="G312" s="1393"/>
      <c r="H312" s="1393"/>
      <c r="I312" s="1393"/>
      <c r="J312" s="1393" t="s">
        <v>135</v>
      </c>
      <c r="K312" s="1394"/>
    </row>
    <row r="313" spans="1:13" s="1" customFormat="1" ht="15" customHeight="1">
      <c r="A313" s="1391"/>
      <c r="B313" s="1386"/>
      <c r="C313" s="1386"/>
      <c r="D313" s="1386" t="s">
        <v>136</v>
      </c>
      <c r="E313" s="1386"/>
      <c r="F313" s="1386" t="s">
        <v>137</v>
      </c>
      <c r="G313" s="1386"/>
      <c r="H313" s="1386" t="s">
        <v>138</v>
      </c>
      <c r="I313" s="1387" t="s">
        <v>866</v>
      </c>
      <c r="J313" s="1386" t="s">
        <v>139</v>
      </c>
      <c r="K313" s="1387" t="s">
        <v>866</v>
      </c>
    </row>
    <row r="314" spans="1:13" s="1" customFormat="1" ht="15" customHeight="1">
      <c r="A314" s="1391"/>
      <c r="B314" s="1386"/>
      <c r="C314" s="1386"/>
      <c r="D314" s="603" t="s">
        <v>140</v>
      </c>
      <c r="E314" s="603" t="s">
        <v>141</v>
      </c>
      <c r="F314" s="603" t="s">
        <v>140</v>
      </c>
      <c r="G314" s="603" t="s">
        <v>141</v>
      </c>
      <c r="H314" s="1386"/>
      <c r="I314" s="1387"/>
      <c r="J314" s="1386"/>
      <c r="K314" s="1387"/>
    </row>
    <row r="315" spans="1:13" s="1" customFormat="1" ht="21.95" customHeight="1">
      <c r="A315" s="1381" t="s">
        <v>143</v>
      </c>
      <c r="B315" s="194" t="s">
        <v>158</v>
      </c>
      <c r="C315" s="649">
        <v>6</v>
      </c>
      <c r="D315" s="15"/>
      <c r="E315" s="15">
        <v>4</v>
      </c>
      <c r="F315" s="15"/>
      <c r="G315" s="15"/>
      <c r="H315" s="15">
        <v>4</v>
      </c>
      <c r="I315" s="639">
        <v>10.750999999999999</v>
      </c>
      <c r="J315" s="15">
        <f>SUM(C315-H315)</f>
        <v>2</v>
      </c>
      <c r="K315" s="644">
        <v>3.4190000000000005</v>
      </c>
    </row>
    <row r="316" spans="1:13" s="1" customFormat="1" ht="21.95" customHeight="1">
      <c r="A316" s="1382"/>
      <c r="B316" s="194" t="s">
        <v>159</v>
      </c>
      <c r="C316" s="650"/>
      <c r="D316" s="15"/>
      <c r="E316" s="15"/>
      <c r="F316" s="15"/>
      <c r="G316" s="15"/>
      <c r="H316" s="15">
        <v>0</v>
      </c>
      <c r="I316" s="639"/>
      <c r="J316" s="15"/>
      <c r="K316" s="644"/>
    </row>
    <row r="317" spans="1:13" s="1" customFormat="1" ht="21.95" customHeight="1">
      <c r="A317" s="1381" t="s">
        <v>144</v>
      </c>
      <c r="B317" s="194" t="s">
        <v>158</v>
      </c>
      <c r="C317" s="651">
        <v>20</v>
      </c>
      <c r="D317" s="15"/>
      <c r="E317" s="15">
        <v>4</v>
      </c>
      <c r="F317" s="15"/>
      <c r="G317" s="15">
        <v>7</v>
      </c>
      <c r="H317" s="15">
        <v>11</v>
      </c>
      <c r="I317" s="639">
        <v>24.2</v>
      </c>
      <c r="J317" s="15">
        <f>SUM(C317-H317)</f>
        <v>9</v>
      </c>
      <c r="K317" s="644">
        <v>13.547000000000001</v>
      </c>
    </row>
    <row r="318" spans="1:13" s="1" customFormat="1" ht="21.95" customHeight="1">
      <c r="A318" s="1382"/>
      <c r="B318" s="194" t="s">
        <v>159</v>
      </c>
      <c r="C318" s="650"/>
      <c r="D318" s="15"/>
      <c r="E318" s="15"/>
      <c r="F318" s="15"/>
      <c r="G318" s="15"/>
      <c r="H318" s="15">
        <v>0</v>
      </c>
      <c r="I318" s="639"/>
      <c r="J318" s="15"/>
      <c r="K318" s="644"/>
    </row>
    <row r="319" spans="1:13" s="1" customFormat="1" ht="21.95" customHeight="1">
      <c r="A319" s="1381" t="s">
        <v>145</v>
      </c>
      <c r="B319" s="194" t="s">
        <v>158</v>
      </c>
      <c r="C319" s="651">
        <v>20</v>
      </c>
      <c r="D319" s="15"/>
      <c r="E319" s="15">
        <v>5</v>
      </c>
      <c r="F319" s="15"/>
      <c r="G319" s="15">
        <v>15</v>
      </c>
      <c r="H319" s="15">
        <v>20</v>
      </c>
      <c r="I319" s="639">
        <v>29.701000000000001</v>
      </c>
      <c r="J319" s="15">
        <f>SUM(C319-H319)</f>
        <v>0</v>
      </c>
      <c r="K319" s="644"/>
    </row>
    <row r="320" spans="1:13" s="1" customFormat="1" ht="21.95" customHeight="1">
      <c r="A320" s="1382"/>
      <c r="B320" s="194" t="s">
        <v>159</v>
      </c>
      <c r="C320" s="650"/>
      <c r="D320" s="15"/>
      <c r="E320" s="15"/>
      <c r="F320" s="15"/>
      <c r="G320" s="15"/>
      <c r="H320" s="15">
        <v>0</v>
      </c>
      <c r="I320" s="639"/>
      <c r="J320" s="15"/>
      <c r="K320" s="644"/>
    </row>
    <row r="321" spans="1:13" s="1" customFormat="1" ht="21.95" customHeight="1">
      <c r="A321" s="602" t="s">
        <v>146</v>
      </c>
      <c r="B321" s="194" t="s">
        <v>158</v>
      </c>
      <c r="C321" s="604">
        <v>23</v>
      </c>
      <c r="D321" s="15"/>
      <c r="E321" s="15"/>
      <c r="F321" s="15"/>
      <c r="G321" s="15">
        <v>21</v>
      </c>
      <c r="H321" s="15">
        <v>21</v>
      </c>
      <c r="I321" s="639">
        <v>22.04</v>
      </c>
      <c r="J321" s="15">
        <f>SUM(C321-H321)</f>
        <v>2</v>
      </c>
      <c r="K321" s="644">
        <v>1.5820000000000007</v>
      </c>
      <c r="L321" s="10"/>
      <c r="M321" s="10"/>
    </row>
    <row r="322" spans="1:13" s="1" customFormat="1" ht="21.95" customHeight="1">
      <c r="A322" s="1384" t="s">
        <v>893</v>
      </c>
      <c r="B322" s="1385"/>
      <c r="C322" s="402">
        <f t="shared" ref="C322:K322" si="39">SUM(C315:C321)</f>
        <v>69</v>
      </c>
      <c r="D322" s="402">
        <f t="shared" si="39"/>
        <v>0</v>
      </c>
      <c r="E322" s="402">
        <f t="shared" si="39"/>
        <v>13</v>
      </c>
      <c r="F322" s="402">
        <f t="shared" si="39"/>
        <v>0</v>
      </c>
      <c r="G322" s="402">
        <f t="shared" si="39"/>
        <v>43</v>
      </c>
      <c r="H322" s="402">
        <f t="shared" si="39"/>
        <v>56</v>
      </c>
      <c r="I322" s="641">
        <f t="shared" si="39"/>
        <v>86.692000000000007</v>
      </c>
      <c r="J322" s="402">
        <f t="shared" si="39"/>
        <v>13</v>
      </c>
      <c r="K322" s="642">
        <f t="shared" si="39"/>
        <v>18.548000000000002</v>
      </c>
      <c r="L322" s="10"/>
      <c r="M322" s="10"/>
    </row>
    <row r="323" spans="1:13" s="1" customFormat="1" ht="24.95" customHeight="1">
      <c r="A323" s="1396" t="s">
        <v>1306</v>
      </c>
      <c r="B323" s="1396"/>
      <c r="C323" s="1396"/>
      <c r="D323" s="1396"/>
      <c r="E323" s="1396"/>
      <c r="F323" s="1396"/>
      <c r="G323" s="1396"/>
      <c r="H323" s="1396"/>
      <c r="I323" s="1396"/>
      <c r="J323" s="1396"/>
      <c r="K323" s="1396"/>
      <c r="L323" s="10"/>
      <c r="M323" s="10"/>
    </row>
    <row r="324" spans="1:13" s="1" customFormat="1" ht="15" customHeight="1">
      <c r="A324" s="1391" t="s">
        <v>864</v>
      </c>
      <c r="B324" s="1386" t="s">
        <v>865</v>
      </c>
      <c r="C324" s="1386" t="s">
        <v>133</v>
      </c>
      <c r="D324" s="1392" t="str">
        <f>+$D$9</f>
        <v xml:space="preserve">Planned for next FY 2019-20 </v>
      </c>
      <c r="E324" s="1392"/>
      <c r="F324" s="1392"/>
      <c r="G324" s="1392"/>
      <c r="H324" s="1392"/>
      <c r="I324" s="1392"/>
      <c r="J324" s="1392"/>
      <c r="K324" s="1392"/>
      <c r="L324" s="10"/>
      <c r="M324" s="10"/>
    </row>
    <row r="325" spans="1:13" s="1" customFormat="1" ht="15" customHeight="1">
      <c r="A325" s="1391"/>
      <c r="B325" s="1386"/>
      <c r="C325" s="1386"/>
      <c r="D325" s="1395" t="s">
        <v>134</v>
      </c>
      <c r="E325" s="1395"/>
      <c r="F325" s="1395"/>
      <c r="G325" s="1395"/>
      <c r="H325" s="1395"/>
      <c r="I325" s="1395"/>
      <c r="J325" s="1395" t="s">
        <v>135</v>
      </c>
      <c r="K325" s="1392"/>
      <c r="L325" s="10"/>
      <c r="M325" s="10"/>
    </row>
    <row r="326" spans="1:13" s="1" customFormat="1" ht="15" customHeight="1">
      <c r="A326" s="1391"/>
      <c r="B326" s="1386"/>
      <c r="C326" s="1386"/>
      <c r="D326" s="1386" t="s">
        <v>136</v>
      </c>
      <c r="E326" s="1386"/>
      <c r="F326" s="1386" t="s">
        <v>137</v>
      </c>
      <c r="G326" s="1386"/>
      <c r="H326" s="1386" t="s">
        <v>138</v>
      </c>
      <c r="I326" s="1387" t="s">
        <v>866</v>
      </c>
      <c r="J326" s="1386" t="s">
        <v>139</v>
      </c>
      <c r="K326" s="1387" t="s">
        <v>866</v>
      </c>
      <c r="L326" s="10"/>
      <c r="M326" s="10"/>
    </row>
    <row r="327" spans="1:13" s="1" customFormat="1" ht="15" customHeight="1">
      <c r="A327" s="1391"/>
      <c r="B327" s="1386"/>
      <c r="C327" s="1386"/>
      <c r="D327" s="603" t="s">
        <v>140</v>
      </c>
      <c r="E327" s="603" t="s">
        <v>141</v>
      </c>
      <c r="F327" s="603" t="s">
        <v>140</v>
      </c>
      <c r="G327" s="603" t="s">
        <v>141</v>
      </c>
      <c r="H327" s="1386"/>
      <c r="I327" s="1387"/>
      <c r="J327" s="1386"/>
      <c r="K327" s="1387"/>
      <c r="L327" s="10"/>
      <c r="M327" s="10"/>
    </row>
    <row r="328" spans="1:13" s="1" customFormat="1" ht="21.95" customHeight="1">
      <c r="A328" s="1381" t="s">
        <v>143</v>
      </c>
      <c r="B328" s="194" t="s">
        <v>158</v>
      </c>
      <c r="C328" s="1383"/>
      <c r="D328" s="15"/>
      <c r="E328" s="15"/>
      <c r="F328" s="15"/>
      <c r="G328" s="15"/>
      <c r="H328" s="15">
        <f>SUM(D328:G328)</f>
        <v>0</v>
      </c>
      <c r="I328" s="639"/>
      <c r="J328" s="15">
        <f>SUM(C328-H328)</f>
        <v>0</v>
      </c>
      <c r="K328" s="640"/>
      <c r="L328" s="10"/>
      <c r="M328" s="10"/>
    </row>
    <row r="329" spans="1:13" s="1" customFormat="1" ht="21.95" customHeight="1">
      <c r="A329" s="1382"/>
      <c r="B329" s="194" t="s">
        <v>159</v>
      </c>
      <c r="C329" s="1383"/>
      <c r="D329" s="15"/>
      <c r="E329" s="15"/>
      <c r="F329" s="15"/>
      <c r="G329" s="15"/>
      <c r="H329" s="15">
        <f>SUM(D329:G329)</f>
        <v>0</v>
      </c>
      <c r="I329" s="639"/>
      <c r="J329" s="15"/>
      <c r="K329" s="640"/>
      <c r="L329" s="10"/>
      <c r="M329" s="10"/>
    </row>
    <row r="330" spans="1:13" s="1" customFormat="1" ht="21.95" customHeight="1">
      <c r="A330" s="1381" t="s">
        <v>144</v>
      </c>
      <c r="B330" s="194" t="s">
        <v>158</v>
      </c>
      <c r="C330" s="1383"/>
      <c r="D330" s="15"/>
      <c r="E330" s="15"/>
      <c r="F330" s="15"/>
      <c r="G330" s="15"/>
      <c r="H330" s="15">
        <f t="shared" ref="H330:H334" si="40">SUM(D330:G330)</f>
        <v>0</v>
      </c>
      <c r="I330" s="639"/>
      <c r="J330" s="15">
        <f>SUM(C330-H330)</f>
        <v>0</v>
      </c>
      <c r="K330" s="640"/>
      <c r="L330" s="10"/>
      <c r="M330" s="10"/>
    </row>
    <row r="331" spans="1:13" s="1" customFormat="1" ht="21.95" customHeight="1">
      <c r="A331" s="1382"/>
      <c r="B331" s="194" t="s">
        <v>159</v>
      </c>
      <c r="C331" s="1383"/>
      <c r="D331" s="15"/>
      <c r="E331" s="15"/>
      <c r="F331" s="15"/>
      <c r="G331" s="15"/>
      <c r="H331" s="15">
        <f t="shared" si="40"/>
        <v>0</v>
      </c>
      <c r="I331" s="639"/>
      <c r="J331" s="15"/>
      <c r="K331" s="640"/>
      <c r="L331" s="10"/>
      <c r="M331" s="10"/>
    </row>
    <row r="332" spans="1:13" s="1" customFormat="1" ht="21.95" customHeight="1">
      <c r="A332" s="1381" t="s">
        <v>145</v>
      </c>
      <c r="B332" s="194" t="s">
        <v>158</v>
      </c>
      <c r="C332" s="1383">
        <v>4</v>
      </c>
      <c r="D332" s="15"/>
      <c r="E332" s="15">
        <v>1</v>
      </c>
      <c r="F332" s="15"/>
      <c r="G332" s="15">
        <v>2</v>
      </c>
      <c r="H332" s="15">
        <f t="shared" si="40"/>
        <v>3</v>
      </c>
      <c r="I332" s="639">
        <v>6.6219999999999999</v>
      </c>
      <c r="J332" s="15">
        <f>SUM(C332-H332)</f>
        <v>1</v>
      </c>
      <c r="K332" s="640">
        <f>+K345</f>
        <v>1.0960000000000001</v>
      </c>
      <c r="L332" s="10"/>
      <c r="M332" s="10"/>
    </row>
    <row r="333" spans="1:13" s="1" customFormat="1" ht="21.95" customHeight="1">
      <c r="A333" s="1382"/>
      <c r="B333" s="194" t="s">
        <v>159</v>
      </c>
      <c r="C333" s="1383"/>
      <c r="D333" s="15"/>
      <c r="E333" s="15"/>
      <c r="F333" s="15"/>
      <c r="G333" s="15"/>
      <c r="H333" s="15">
        <f t="shared" si="40"/>
        <v>0</v>
      </c>
      <c r="I333" s="639"/>
      <c r="J333" s="15"/>
      <c r="K333" s="640"/>
      <c r="L333" s="10"/>
      <c r="M333" s="10"/>
    </row>
    <row r="334" spans="1:13" s="1" customFormat="1" ht="21.95" customHeight="1">
      <c r="A334" s="602" t="s">
        <v>146</v>
      </c>
      <c r="B334" s="194" t="s">
        <v>158</v>
      </c>
      <c r="C334" s="604">
        <v>9</v>
      </c>
      <c r="D334" s="15"/>
      <c r="E334" s="15"/>
      <c r="F334" s="15"/>
      <c r="G334" s="15">
        <v>5</v>
      </c>
      <c r="H334" s="15">
        <f t="shared" si="40"/>
        <v>5</v>
      </c>
      <c r="I334" s="639">
        <v>8.2050000000000001</v>
      </c>
      <c r="J334" s="15">
        <f>SUM(C334-H334)</f>
        <v>4</v>
      </c>
      <c r="K334" s="640">
        <f>+K347</f>
        <v>3.1770000000000005</v>
      </c>
      <c r="L334" s="10"/>
      <c r="M334" s="10"/>
    </row>
    <row r="335" spans="1:13" s="1" customFormat="1" ht="21.95" customHeight="1">
      <c r="A335" s="1384" t="s">
        <v>893</v>
      </c>
      <c r="B335" s="1385"/>
      <c r="C335" s="402">
        <f t="shared" ref="C335:K335" si="41">SUM(C328:C334)</f>
        <v>13</v>
      </c>
      <c r="D335" s="402">
        <f t="shared" si="41"/>
        <v>0</v>
      </c>
      <c r="E335" s="402">
        <f t="shared" si="41"/>
        <v>1</v>
      </c>
      <c r="F335" s="402">
        <f t="shared" si="41"/>
        <v>0</v>
      </c>
      <c r="G335" s="402">
        <f t="shared" si="41"/>
        <v>7</v>
      </c>
      <c r="H335" s="402">
        <f t="shared" si="41"/>
        <v>8</v>
      </c>
      <c r="I335" s="641">
        <f t="shared" si="41"/>
        <v>14.827</v>
      </c>
      <c r="J335" s="402">
        <f t="shared" si="41"/>
        <v>5</v>
      </c>
      <c r="K335" s="642">
        <f t="shared" si="41"/>
        <v>4.2730000000000006</v>
      </c>
      <c r="L335" s="10"/>
      <c r="M335" s="10"/>
    </row>
    <row r="336" spans="1:13" s="1" customFormat="1" ht="12" customHeight="1">
      <c r="A336" s="1388"/>
      <c r="B336" s="1389"/>
      <c r="C336" s="1389"/>
      <c r="D336" s="1389"/>
      <c r="E336" s="1389"/>
      <c r="F336" s="1389"/>
      <c r="G336" s="1389"/>
      <c r="H336" s="1389"/>
      <c r="I336" s="1389"/>
      <c r="J336" s="1389"/>
      <c r="K336" s="1390"/>
      <c r="L336" s="10"/>
      <c r="M336" s="10"/>
    </row>
    <row r="337" spans="1:13" s="1" customFormat="1" ht="15" customHeight="1">
      <c r="A337" s="1391" t="s">
        <v>864</v>
      </c>
      <c r="B337" s="1386" t="s">
        <v>865</v>
      </c>
      <c r="C337" s="1386" t="s">
        <v>133</v>
      </c>
      <c r="D337" s="1392" t="str">
        <f>+$D$22</f>
        <v>Status during current year 2018-19</v>
      </c>
      <c r="E337" s="1392"/>
      <c r="F337" s="1392"/>
      <c r="G337" s="1392"/>
      <c r="H337" s="1392"/>
      <c r="I337" s="1392"/>
      <c r="J337" s="1392"/>
      <c r="K337" s="1392"/>
    </row>
    <row r="338" spans="1:13" s="1" customFormat="1" ht="15" customHeight="1">
      <c r="A338" s="1391"/>
      <c r="B338" s="1386"/>
      <c r="C338" s="1386"/>
      <c r="D338" s="1393" t="s">
        <v>134</v>
      </c>
      <c r="E338" s="1393"/>
      <c r="F338" s="1393"/>
      <c r="G338" s="1393"/>
      <c r="H338" s="1393"/>
      <c r="I338" s="1393"/>
      <c r="J338" s="1393" t="s">
        <v>135</v>
      </c>
      <c r="K338" s="1394"/>
    </row>
    <row r="339" spans="1:13" s="1" customFormat="1" ht="15" customHeight="1">
      <c r="A339" s="1391"/>
      <c r="B339" s="1386"/>
      <c r="C339" s="1386"/>
      <c r="D339" s="1386" t="s">
        <v>136</v>
      </c>
      <c r="E339" s="1386"/>
      <c r="F339" s="1386" t="s">
        <v>137</v>
      </c>
      <c r="G339" s="1386"/>
      <c r="H339" s="1386" t="s">
        <v>138</v>
      </c>
      <c r="I339" s="1387" t="s">
        <v>866</v>
      </c>
      <c r="J339" s="1386" t="s">
        <v>139</v>
      </c>
      <c r="K339" s="1387" t="s">
        <v>866</v>
      </c>
    </row>
    <row r="340" spans="1:13" s="1" customFormat="1" ht="15" customHeight="1">
      <c r="A340" s="1391"/>
      <c r="B340" s="1386"/>
      <c r="C340" s="1386"/>
      <c r="D340" s="603" t="s">
        <v>140</v>
      </c>
      <c r="E340" s="603" t="s">
        <v>141</v>
      </c>
      <c r="F340" s="603" t="s">
        <v>140</v>
      </c>
      <c r="G340" s="603" t="s">
        <v>141</v>
      </c>
      <c r="H340" s="1386"/>
      <c r="I340" s="1387"/>
      <c r="J340" s="1386"/>
      <c r="K340" s="1387"/>
    </row>
    <row r="341" spans="1:13" s="1" customFormat="1" ht="21.95" customHeight="1">
      <c r="A341" s="1381" t="s">
        <v>143</v>
      </c>
      <c r="B341" s="194" t="s">
        <v>158</v>
      </c>
      <c r="C341" s="1383"/>
      <c r="D341" s="15"/>
      <c r="E341" s="15"/>
      <c r="F341" s="15"/>
      <c r="G341" s="15"/>
      <c r="H341" s="15">
        <f>SUM(D341:G341)</f>
        <v>0</v>
      </c>
      <c r="I341" s="639"/>
      <c r="J341" s="15">
        <f>SUM(C341-H341)</f>
        <v>0</v>
      </c>
      <c r="K341" s="640">
        <f>+M341-I341</f>
        <v>0</v>
      </c>
    </row>
    <row r="342" spans="1:13" s="1" customFormat="1" ht="21.95" customHeight="1">
      <c r="A342" s="1382"/>
      <c r="B342" s="194" t="s">
        <v>159</v>
      </c>
      <c r="C342" s="1383"/>
      <c r="D342" s="15"/>
      <c r="E342" s="15"/>
      <c r="F342" s="15"/>
      <c r="G342" s="15"/>
      <c r="H342" s="15">
        <f>SUM(D342:G342)</f>
        <v>0</v>
      </c>
      <c r="I342" s="639"/>
      <c r="J342" s="15"/>
      <c r="K342" s="640"/>
    </row>
    <row r="343" spans="1:13" s="1" customFormat="1" ht="21.95" customHeight="1">
      <c r="A343" s="1381" t="s">
        <v>144</v>
      </c>
      <c r="B343" s="194" t="s">
        <v>158</v>
      </c>
      <c r="C343" s="1383"/>
      <c r="D343" s="15"/>
      <c r="E343" s="15"/>
      <c r="F343" s="15"/>
      <c r="G343" s="15"/>
      <c r="H343" s="15">
        <f t="shared" ref="H343:H347" si="42">SUM(D343:G343)</f>
        <v>0</v>
      </c>
      <c r="I343" s="639"/>
      <c r="J343" s="15">
        <f>SUM(C343-H343)</f>
        <v>0</v>
      </c>
      <c r="K343" s="640">
        <f>+M343-I343</f>
        <v>0</v>
      </c>
    </row>
    <row r="344" spans="1:13" s="1" customFormat="1" ht="21.95" customHeight="1">
      <c r="A344" s="1382"/>
      <c r="B344" s="194" t="s">
        <v>159</v>
      </c>
      <c r="C344" s="1383"/>
      <c r="D344" s="15"/>
      <c r="E344" s="15"/>
      <c r="F344" s="15"/>
      <c r="G344" s="15"/>
      <c r="H344" s="15">
        <f t="shared" si="42"/>
        <v>0</v>
      </c>
      <c r="I344" s="639"/>
      <c r="J344" s="15"/>
      <c r="K344" s="640"/>
    </row>
    <row r="345" spans="1:13" s="1" customFormat="1" ht="21.95" customHeight="1">
      <c r="A345" s="1381" t="s">
        <v>145</v>
      </c>
      <c r="B345" s="194" t="s">
        <v>158</v>
      </c>
      <c r="C345" s="1383">
        <v>4</v>
      </c>
      <c r="D345" s="15"/>
      <c r="E345" s="15">
        <v>1</v>
      </c>
      <c r="F345" s="15"/>
      <c r="G345" s="15">
        <v>2</v>
      </c>
      <c r="H345" s="15">
        <f t="shared" si="42"/>
        <v>3</v>
      </c>
      <c r="I345" s="639">
        <v>6.4909999999999997</v>
      </c>
      <c r="J345" s="15">
        <f>SUM(C345-H345)</f>
        <v>1</v>
      </c>
      <c r="K345" s="640">
        <f>+M345-I345</f>
        <v>1.0960000000000001</v>
      </c>
      <c r="M345" s="1">
        <v>7.5869999999999997</v>
      </c>
    </row>
    <row r="346" spans="1:13" s="1" customFormat="1" ht="21.95" customHeight="1">
      <c r="A346" s="1382"/>
      <c r="B346" s="194" t="s">
        <v>159</v>
      </c>
      <c r="C346" s="1383"/>
      <c r="D346" s="15"/>
      <c r="E346" s="15"/>
      <c r="F346" s="15"/>
      <c r="G346" s="15"/>
      <c r="H346" s="15">
        <f t="shared" si="42"/>
        <v>0</v>
      </c>
      <c r="I346" s="639"/>
      <c r="J346" s="15"/>
      <c r="K346" s="640"/>
    </row>
    <row r="347" spans="1:13" s="1" customFormat="1" ht="21.95" customHeight="1">
      <c r="A347" s="602" t="s">
        <v>146</v>
      </c>
      <c r="B347" s="194" t="s">
        <v>158</v>
      </c>
      <c r="C347" s="604">
        <v>9</v>
      </c>
      <c r="D347" s="15"/>
      <c r="E347" s="15"/>
      <c r="F347" s="15"/>
      <c r="G347" s="15">
        <v>5</v>
      </c>
      <c r="H347" s="15">
        <f t="shared" si="42"/>
        <v>5</v>
      </c>
      <c r="I347" s="639">
        <v>7.9980000000000002</v>
      </c>
      <c r="J347" s="15">
        <f>SUM(C347-H347)</f>
        <v>4</v>
      </c>
      <c r="K347" s="640">
        <f>+M347-I347</f>
        <v>3.1770000000000005</v>
      </c>
      <c r="M347" s="1">
        <v>11.175000000000001</v>
      </c>
    </row>
    <row r="348" spans="1:13" s="1" customFormat="1" ht="21.95" customHeight="1">
      <c r="A348" s="1384" t="s">
        <v>893</v>
      </c>
      <c r="B348" s="1385"/>
      <c r="C348" s="402">
        <f t="shared" ref="C348:K348" si="43">SUM(C341:C347)</f>
        <v>13</v>
      </c>
      <c r="D348" s="402">
        <f t="shared" si="43"/>
        <v>0</v>
      </c>
      <c r="E348" s="402">
        <f t="shared" si="43"/>
        <v>1</v>
      </c>
      <c r="F348" s="402">
        <f t="shared" si="43"/>
        <v>0</v>
      </c>
      <c r="G348" s="402">
        <f t="shared" si="43"/>
        <v>7</v>
      </c>
      <c r="H348" s="402">
        <f t="shared" si="43"/>
        <v>8</v>
      </c>
      <c r="I348" s="641">
        <f t="shared" si="43"/>
        <v>14.489000000000001</v>
      </c>
      <c r="J348" s="402">
        <f t="shared" si="43"/>
        <v>5</v>
      </c>
      <c r="K348" s="642">
        <f t="shared" si="43"/>
        <v>4.2730000000000006</v>
      </c>
    </row>
    <row r="349" spans="1:13" s="1" customFormat="1" ht="12" customHeight="1">
      <c r="A349" s="1388"/>
      <c r="B349" s="1389"/>
      <c r="C349" s="1389"/>
      <c r="D349" s="1389"/>
      <c r="E349" s="1389"/>
      <c r="F349" s="1389"/>
      <c r="G349" s="1389"/>
      <c r="H349" s="1389"/>
      <c r="I349" s="1389"/>
      <c r="J349" s="1389"/>
      <c r="K349" s="1390"/>
    </row>
    <row r="350" spans="1:13" s="1" customFormat="1" ht="15" customHeight="1">
      <c r="A350" s="1391" t="s">
        <v>864</v>
      </c>
      <c r="B350" s="1386" t="s">
        <v>865</v>
      </c>
      <c r="C350" s="1386" t="s">
        <v>133</v>
      </c>
      <c r="D350" s="1392" t="str">
        <f>+$D$35</f>
        <v>Status during last FY 2017-18</v>
      </c>
      <c r="E350" s="1392"/>
      <c r="F350" s="1392"/>
      <c r="G350" s="1392"/>
      <c r="H350" s="1392"/>
      <c r="I350" s="1392"/>
      <c r="J350" s="1392"/>
      <c r="K350" s="1392"/>
    </row>
    <row r="351" spans="1:13" s="1" customFormat="1" ht="15" customHeight="1">
      <c r="A351" s="1391"/>
      <c r="B351" s="1386"/>
      <c r="C351" s="1386"/>
      <c r="D351" s="1393" t="s">
        <v>134</v>
      </c>
      <c r="E351" s="1393"/>
      <c r="F351" s="1393"/>
      <c r="G351" s="1393"/>
      <c r="H351" s="1393"/>
      <c r="I351" s="1393"/>
      <c r="J351" s="1393" t="s">
        <v>135</v>
      </c>
      <c r="K351" s="1394"/>
    </row>
    <row r="352" spans="1:13" s="1" customFormat="1" ht="15" customHeight="1">
      <c r="A352" s="1391"/>
      <c r="B352" s="1386"/>
      <c r="C352" s="1386"/>
      <c r="D352" s="1386" t="s">
        <v>136</v>
      </c>
      <c r="E352" s="1386"/>
      <c r="F352" s="1386" t="s">
        <v>137</v>
      </c>
      <c r="G352" s="1386"/>
      <c r="H352" s="1386" t="s">
        <v>138</v>
      </c>
      <c r="I352" s="1387" t="s">
        <v>866</v>
      </c>
      <c r="J352" s="1386" t="s">
        <v>139</v>
      </c>
      <c r="K352" s="1387" t="s">
        <v>866</v>
      </c>
    </row>
    <row r="353" spans="1:11" s="1" customFormat="1" ht="15" customHeight="1">
      <c r="A353" s="1391"/>
      <c r="B353" s="1386"/>
      <c r="C353" s="1386"/>
      <c r="D353" s="603" t="s">
        <v>140</v>
      </c>
      <c r="E353" s="603" t="s">
        <v>141</v>
      </c>
      <c r="F353" s="603" t="s">
        <v>140</v>
      </c>
      <c r="G353" s="603" t="s">
        <v>141</v>
      </c>
      <c r="H353" s="1386"/>
      <c r="I353" s="1387"/>
      <c r="J353" s="1386"/>
      <c r="K353" s="1387"/>
    </row>
    <row r="354" spans="1:11" s="1" customFormat="1" ht="21.95" customHeight="1">
      <c r="A354" s="1381" t="s">
        <v>143</v>
      </c>
      <c r="B354" s="194" t="s">
        <v>158</v>
      </c>
      <c r="C354" s="1383"/>
      <c r="D354" s="15"/>
      <c r="E354" s="15"/>
      <c r="F354" s="15"/>
      <c r="G354" s="15"/>
      <c r="H354" s="15">
        <f t="shared" ref="H354:H360" si="44">D354+E354+F354+G354</f>
        <v>0</v>
      </c>
      <c r="I354" s="639"/>
      <c r="J354" s="15">
        <f>SUM(C354-H354)</f>
        <v>0</v>
      </c>
      <c r="K354" s="640"/>
    </row>
    <row r="355" spans="1:11" s="1" customFormat="1" ht="21.95" customHeight="1">
      <c r="A355" s="1382"/>
      <c r="B355" s="194" t="s">
        <v>159</v>
      </c>
      <c r="C355" s="1383"/>
      <c r="D355" s="15"/>
      <c r="E355" s="15"/>
      <c r="F355" s="15"/>
      <c r="G355" s="15"/>
      <c r="H355" s="15">
        <f t="shared" si="44"/>
        <v>0</v>
      </c>
      <c r="I355" s="639"/>
      <c r="J355" s="15"/>
      <c r="K355" s="640"/>
    </row>
    <row r="356" spans="1:11" s="1" customFormat="1" ht="21.95" customHeight="1">
      <c r="A356" s="1381" t="s">
        <v>144</v>
      </c>
      <c r="B356" s="194" t="s">
        <v>158</v>
      </c>
      <c r="C356" s="1383"/>
      <c r="D356" s="15"/>
      <c r="E356" s="15"/>
      <c r="F356" s="15"/>
      <c r="G356" s="15"/>
      <c r="H356" s="15">
        <f t="shared" si="44"/>
        <v>0</v>
      </c>
      <c r="I356" s="639"/>
      <c r="J356" s="15">
        <f>SUM(C356-H356)</f>
        <v>0</v>
      </c>
      <c r="K356" s="640"/>
    </row>
    <row r="357" spans="1:11" s="1" customFormat="1" ht="21.95" customHeight="1">
      <c r="A357" s="1382"/>
      <c r="B357" s="194" t="s">
        <v>159</v>
      </c>
      <c r="C357" s="1383"/>
      <c r="D357" s="15"/>
      <c r="E357" s="15"/>
      <c r="F357" s="15"/>
      <c r="G357" s="15"/>
      <c r="H357" s="15">
        <f t="shared" si="44"/>
        <v>0</v>
      </c>
      <c r="I357" s="639"/>
      <c r="J357" s="15"/>
      <c r="K357" s="640"/>
    </row>
    <row r="358" spans="1:11" s="1" customFormat="1" ht="21.95" customHeight="1">
      <c r="A358" s="1381" t="s">
        <v>145</v>
      </c>
      <c r="B358" s="194" t="s">
        <v>158</v>
      </c>
      <c r="C358" s="1383">
        <v>4</v>
      </c>
      <c r="D358" s="15"/>
      <c r="E358" s="15">
        <v>1</v>
      </c>
      <c r="F358" s="15"/>
      <c r="G358" s="15">
        <v>3</v>
      </c>
      <c r="H358" s="15">
        <f t="shared" si="44"/>
        <v>4</v>
      </c>
      <c r="I358" s="639">
        <v>8.0489999999999995</v>
      </c>
      <c r="J358" s="15">
        <f>SUM(C358-H358)</f>
        <v>0</v>
      </c>
      <c r="K358" s="640"/>
    </row>
    <row r="359" spans="1:11" s="1" customFormat="1" ht="21.95" customHeight="1">
      <c r="A359" s="1382"/>
      <c r="B359" s="194" t="s">
        <v>159</v>
      </c>
      <c r="C359" s="1383"/>
      <c r="D359" s="15"/>
      <c r="E359" s="15"/>
      <c r="F359" s="15"/>
      <c r="G359" s="15"/>
      <c r="H359" s="15">
        <f t="shared" si="44"/>
        <v>0</v>
      </c>
      <c r="I359" s="639"/>
      <c r="J359" s="15"/>
      <c r="K359" s="640"/>
    </row>
    <row r="360" spans="1:11" s="1" customFormat="1" ht="21.95" customHeight="1">
      <c r="A360" s="602" t="s">
        <v>146</v>
      </c>
      <c r="B360" s="194" t="s">
        <v>158</v>
      </c>
      <c r="C360" s="604">
        <v>9</v>
      </c>
      <c r="D360" s="15"/>
      <c r="E360" s="15"/>
      <c r="F360" s="15"/>
      <c r="G360" s="15">
        <v>7</v>
      </c>
      <c r="H360" s="15">
        <f t="shared" si="44"/>
        <v>7</v>
      </c>
      <c r="I360" s="639">
        <v>10.645</v>
      </c>
      <c r="J360" s="15">
        <f>SUM(C360-H360)</f>
        <v>2</v>
      </c>
      <c r="K360" s="640">
        <v>1.7490000000000006</v>
      </c>
    </row>
    <row r="361" spans="1:11" s="1" customFormat="1" ht="21.95" customHeight="1">
      <c r="A361" s="1384" t="s">
        <v>893</v>
      </c>
      <c r="B361" s="1385"/>
      <c r="C361" s="402">
        <f t="shared" ref="C361:K361" si="45">SUM(C354:C360)</f>
        <v>13</v>
      </c>
      <c r="D361" s="402">
        <f t="shared" si="45"/>
        <v>0</v>
      </c>
      <c r="E361" s="402">
        <f t="shared" si="45"/>
        <v>1</v>
      </c>
      <c r="F361" s="402">
        <f t="shared" si="45"/>
        <v>0</v>
      </c>
      <c r="G361" s="402">
        <f t="shared" si="45"/>
        <v>10</v>
      </c>
      <c r="H361" s="402">
        <f t="shared" si="45"/>
        <v>11</v>
      </c>
      <c r="I361" s="641">
        <f t="shared" si="45"/>
        <v>18.693999999999999</v>
      </c>
      <c r="J361" s="402">
        <f t="shared" si="45"/>
        <v>2</v>
      </c>
      <c r="K361" s="642">
        <f t="shared" si="45"/>
        <v>1.7490000000000006</v>
      </c>
    </row>
    <row r="362" spans="1:11" s="1" customFormat="1" ht="18">
      <c r="A362" s="1396" t="s">
        <v>1307</v>
      </c>
      <c r="B362" s="1396"/>
      <c r="C362" s="1396"/>
      <c r="D362" s="1396"/>
      <c r="E362" s="1396"/>
      <c r="F362" s="1396"/>
      <c r="G362" s="1396"/>
      <c r="H362" s="1396"/>
      <c r="I362" s="1396"/>
      <c r="J362" s="1396"/>
      <c r="K362" s="1396"/>
    </row>
    <row r="363" spans="1:11" s="1" customFormat="1" ht="12.75">
      <c r="A363" s="1391" t="s">
        <v>864</v>
      </c>
      <c r="B363" s="1386" t="s">
        <v>865</v>
      </c>
      <c r="C363" s="1386" t="s">
        <v>133</v>
      </c>
      <c r="D363" s="1392" t="str">
        <f>+$D$9</f>
        <v xml:space="preserve">Planned for next FY 2019-20 </v>
      </c>
      <c r="E363" s="1392"/>
      <c r="F363" s="1392"/>
      <c r="G363" s="1392"/>
      <c r="H363" s="1392"/>
      <c r="I363" s="1392"/>
      <c r="J363" s="1392"/>
      <c r="K363" s="1392"/>
    </row>
    <row r="364" spans="1:11" s="1" customFormat="1" ht="12.75">
      <c r="A364" s="1391"/>
      <c r="B364" s="1386"/>
      <c r="C364" s="1386"/>
      <c r="D364" s="1395" t="s">
        <v>134</v>
      </c>
      <c r="E364" s="1395"/>
      <c r="F364" s="1395"/>
      <c r="G364" s="1395"/>
      <c r="H364" s="1395"/>
      <c r="I364" s="1395"/>
      <c r="J364" s="1395" t="s">
        <v>135</v>
      </c>
      <c r="K364" s="1392"/>
    </row>
    <row r="365" spans="1:11" s="1" customFormat="1" ht="12.75">
      <c r="A365" s="1391"/>
      <c r="B365" s="1386"/>
      <c r="C365" s="1386"/>
      <c r="D365" s="1386" t="s">
        <v>136</v>
      </c>
      <c r="E365" s="1386"/>
      <c r="F365" s="1386" t="s">
        <v>137</v>
      </c>
      <c r="G365" s="1386"/>
      <c r="H365" s="1386" t="s">
        <v>138</v>
      </c>
      <c r="I365" s="1387" t="s">
        <v>866</v>
      </c>
      <c r="J365" s="1386" t="s">
        <v>139</v>
      </c>
      <c r="K365" s="1387" t="s">
        <v>866</v>
      </c>
    </row>
    <row r="366" spans="1:11" s="1" customFormat="1" ht="12.75">
      <c r="A366" s="1391"/>
      <c r="B366" s="1386"/>
      <c r="C366" s="1386"/>
      <c r="D366" s="603" t="s">
        <v>140</v>
      </c>
      <c r="E366" s="603" t="s">
        <v>141</v>
      </c>
      <c r="F366" s="603" t="s">
        <v>140</v>
      </c>
      <c r="G366" s="603" t="s">
        <v>141</v>
      </c>
      <c r="H366" s="1386"/>
      <c r="I366" s="1387"/>
      <c r="J366" s="1386"/>
      <c r="K366" s="1387"/>
    </row>
    <row r="367" spans="1:11" s="1" customFormat="1">
      <c r="A367" s="1381" t="s">
        <v>143</v>
      </c>
      <c r="B367" s="194" t="s">
        <v>158</v>
      </c>
      <c r="C367" s="1383"/>
      <c r="D367" s="15"/>
      <c r="E367" s="15"/>
      <c r="F367" s="15"/>
      <c r="G367" s="15"/>
      <c r="H367" s="15">
        <f>SUM(D367:G367)</f>
        <v>0</v>
      </c>
      <c r="I367" s="639"/>
      <c r="J367" s="15">
        <f>SUM(C367-H367)</f>
        <v>0</v>
      </c>
      <c r="K367" s="640"/>
    </row>
    <row r="368" spans="1:11" s="1" customFormat="1">
      <c r="A368" s="1382"/>
      <c r="B368" s="194" t="s">
        <v>159</v>
      </c>
      <c r="C368" s="1383"/>
      <c r="D368" s="15"/>
      <c r="E368" s="15"/>
      <c r="F368" s="15"/>
      <c r="G368" s="15"/>
      <c r="H368" s="15">
        <f>SUM(D368:G368)</f>
        <v>0</v>
      </c>
      <c r="I368" s="639"/>
      <c r="J368" s="15"/>
      <c r="K368" s="640"/>
    </row>
    <row r="369" spans="1:13" s="1" customFormat="1">
      <c r="A369" s="1381" t="s">
        <v>144</v>
      </c>
      <c r="B369" s="194" t="s">
        <v>158</v>
      </c>
      <c r="C369" s="1383"/>
      <c r="D369" s="15"/>
      <c r="E369" s="15"/>
      <c r="F369" s="15"/>
      <c r="G369" s="15"/>
      <c r="H369" s="15">
        <f t="shared" ref="H369:H373" si="46">SUM(D369:G369)</f>
        <v>0</v>
      </c>
      <c r="I369" s="639"/>
      <c r="J369" s="15">
        <f>SUM(C369-H369)</f>
        <v>0</v>
      </c>
      <c r="K369" s="640"/>
      <c r="L369" s="10"/>
      <c r="M369" s="10"/>
    </row>
    <row r="370" spans="1:13" s="1" customFormat="1">
      <c r="A370" s="1382"/>
      <c r="B370" s="194" t="s">
        <v>159</v>
      </c>
      <c r="C370" s="1383"/>
      <c r="D370" s="15"/>
      <c r="E370" s="15"/>
      <c r="F370" s="15"/>
      <c r="G370" s="15"/>
      <c r="H370" s="15">
        <f t="shared" si="46"/>
        <v>0</v>
      </c>
      <c r="I370" s="639"/>
      <c r="J370" s="15"/>
      <c r="K370" s="640"/>
      <c r="L370" s="10"/>
      <c r="M370" s="10"/>
    </row>
    <row r="371" spans="1:13" s="1" customFormat="1">
      <c r="A371" s="1381" t="s">
        <v>145</v>
      </c>
      <c r="B371" s="194" t="s">
        <v>158</v>
      </c>
      <c r="C371" s="1383">
        <v>8</v>
      </c>
      <c r="D371" s="15"/>
      <c r="E371" s="15"/>
      <c r="F371" s="15">
        <v>4</v>
      </c>
      <c r="G371" s="15"/>
      <c r="H371" s="15">
        <f t="shared" si="46"/>
        <v>4</v>
      </c>
      <c r="I371" s="639">
        <v>8.3209999999999997</v>
      </c>
      <c r="J371" s="15">
        <f>SUM(C371-H371)</f>
        <v>4</v>
      </c>
      <c r="K371" s="640">
        <f>+K384</f>
        <v>4.3840000000000003</v>
      </c>
      <c r="L371" s="10"/>
      <c r="M371" s="10"/>
    </row>
    <row r="372" spans="1:13" s="1" customFormat="1">
      <c r="A372" s="1382"/>
      <c r="B372" s="194" t="s">
        <v>159</v>
      </c>
      <c r="C372" s="1383"/>
      <c r="D372" s="15"/>
      <c r="E372" s="15"/>
      <c r="F372" s="15"/>
      <c r="G372" s="15"/>
      <c r="H372" s="15">
        <f t="shared" si="46"/>
        <v>0</v>
      </c>
      <c r="I372" s="639"/>
      <c r="J372" s="15"/>
      <c r="K372" s="640"/>
      <c r="L372" s="10"/>
      <c r="M372" s="10"/>
    </row>
    <row r="373" spans="1:13" s="1" customFormat="1">
      <c r="A373" s="602" t="s">
        <v>146</v>
      </c>
      <c r="B373" s="194" t="s">
        <v>158</v>
      </c>
      <c r="C373" s="604">
        <v>24</v>
      </c>
      <c r="D373" s="15"/>
      <c r="E373" s="15"/>
      <c r="F373" s="15">
        <v>6</v>
      </c>
      <c r="G373" s="15">
        <v>13</v>
      </c>
      <c r="H373" s="15">
        <f t="shared" si="46"/>
        <v>19</v>
      </c>
      <c r="I373" s="639">
        <v>32.298999999999999</v>
      </c>
      <c r="J373" s="15">
        <f>SUM(C373-H373)</f>
        <v>5</v>
      </c>
      <c r="K373" s="640">
        <f>+K386</f>
        <v>3.9450000000000038</v>
      </c>
      <c r="L373" s="10"/>
      <c r="M373" s="10"/>
    </row>
    <row r="374" spans="1:13" s="1" customFormat="1" ht="15">
      <c r="A374" s="1384" t="s">
        <v>893</v>
      </c>
      <c r="B374" s="1385"/>
      <c r="C374" s="402">
        <f t="shared" ref="C374:K374" si="47">SUM(C367:C373)</f>
        <v>32</v>
      </c>
      <c r="D374" s="402">
        <f t="shared" si="47"/>
        <v>0</v>
      </c>
      <c r="E374" s="402">
        <f t="shared" si="47"/>
        <v>0</v>
      </c>
      <c r="F374" s="402">
        <f t="shared" si="47"/>
        <v>10</v>
      </c>
      <c r="G374" s="402">
        <f t="shared" si="47"/>
        <v>13</v>
      </c>
      <c r="H374" s="402">
        <f t="shared" si="47"/>
        <v>23</v>
      </c>
      <c r="I374" s="641">
        <f t="shared" si="47"/>
        <v>40.619999999999997</v>
      </c>
      <c r="J374" s="402">
        <f t="shared" si="47"/>
        <v>9</v>
      </c>
      <c r="K374" s="642">
        <f t="shared" si="47"/>
        <v>8.3290000000000042</v>
      </c>
      <c r="L374" s="10"/>
      <c r="M374" s="10"/>
    </row>
    <row r="375" spans="1:13" s="1" customFormat="1" ht="15">
      <c r="A375" s="1388"/>
      <c r="B375" s="1389"/>
      <c r="C375" s="1389"/>
      <c r="D375" s="1389"/>
      <c r="E375" s="1389"/>
      <c r="F375" s="1389"/>
      <c r="G375" s="1389"/>
      <c r="H375" s="1389"/>
      <c r="I375" s="1389"/>
      <c r="J375" s="1389"/>
      <c r="K375" s="1390"/>
      <c r="L375" s="10"/>
      <c r="M375" s="10"/>
    </row>
    <row r="376" spans="1:13" s="1" customFormat="1" ht="12.75">
      <c r="A376" s="1391" t="s">
        <v>864</v>
      </c>
      <c r="B376" s="1386" t="s">
        <v>865</v>
      </c>
      <c r="C376" s="1386" t="s">
        <v>133</v>
      </c>
      <c r="D376" s="1392" t="str">
        <f>+$D$22</f>
        <v>Status during current year 2018-19</v>
      </c>
      <c r="E376" s="1392"/>
      <c r="F376" s="1392"/>
      <c r="G376" s="1392"/>
      <c r="H376" s="1392"/>
      <c r="I376" s="1392"/>
      <c r="J376" s="1392"/>
      <c r="K376" s="1392"/>
      <c r="L376" s="10"/>
      <c r="M376" s="10"/>
    </row>
    <row r="377" spans="1:13" s="1" customFormat="1" ht="12.75">
      <c r="A377" s="1391"/>
      <c r="B377" s="1386"/>
      <c r="C377" s="1386"/>
      <c r="D377" s="1393" t="s">
        <v>134</v>
      </c>
      <c r="E377" s="1393"/>
      <c r="F377" s="1393"/>
      <c r="G377" s="1393"/>
      <c r="H377" s="1393"/>
      <c r="I377" s="1393"/>
      <c r="J377" s="1393" t="s">
        <v>135</v>
      </c>
      <c r="K377" s="1394"/>
      <c r="L377" s="10"/>
      <c r="M377" s="10"/>
    </row>
    <row r="378" spans="1:13" s="1" customFormat="1" ht="12.75">
      <c r="A378" s="1391"/>
      <c r="B378" s="1386"/>
      <c r="C378" s="1386"/>
      <c r="D378" s="1386" t="s">
        <v>136</v>
      </c>
      <c r="E378" s="1386"/>
      <c r="F378" s="1386" t="s">
        <v>137</v>
      </c>
      <c r="G378" s="1386"/>
      <c r="H378" s="1386" t="s">
        <v>138</v>
      </c>
      <c r="I378" s="1387" t="s">
        <v>866</v>
      </c>
      <c r="J378" s="1386" t="s">
        <v>139</v>
      </c>
      <c r="K378" s="1387" t="s">
        <v>866</v>
      </c>
      <c r="L378" s="10"/>
      <c r="M378" s="10"/>
    </row>
    <row r="379" spans="1:13" s="1" customFormat="1" ht="12.75">
      <c r="A379" s="1391"/>
      <c r="B379" s="1386"/>
      <c r="C379" s="1386"/>
      <c r="D379" s="603" t="s">
        <v>140</v>
      </c>
      <c r="E379" s="603" t="s">
        <v>141</v>
      </c>
      <c r="F379" s="603" t="s">
        <v>140</v>
      </c>
      <c r="G379" s="603" t="s">
        <v>141</v>
      </c>
      <c r="H379" s="1386"/>
      <c r="I379" s="1387"/>
      <c r="J379" s="1386"/>
      <c r="K379" s="1387"/>
      <c r="L379" s="10"/>
      <c r="M379" s="10"/>
    </row>
    <row r="380" spans="1:13" s="1" customFormat="1">
      <c r="A380" s="1381" t="s">
        <v>143</v>
      </c>
      <c r="B380" s="194" t="s">
        <v>158</v>
      </c>
      <c r="C380" s="1383"/>
      <c r="D380" s="15"/>
      <c r="E380" s="15"/>
      <c r="F380" s="15"/>
      <c r="G380" s="15"/>
      <c r="H380" s="15">
        <f>SUM(D380:G380)</f>
        <v>0</v>
      </c>
      <c r="I380" s="639"/>
      <c r="J380" s="15">
        <f>SUM(C380-H380)</f>
        <v>0</v>
      </c>
      <c r="K380" s="640">
        <f>+M380-I380</f>
        <v>0</v>
      </c>
      <c r="L380" s="10"/>
      <c r="M380" s="10"/>
    </row>
    <row r="381" spans="1:13" s="1" customFormat="1">
      <c r="A381" s="1382"/>
      <c r="B381" s="194" t="s">
        <v>159</v>
      </c>
      <c r="C381" s="1383"/>
      <c r="D381" s="15"/>
      <c r="E381" s="15"/>
      <c r="F381" s="15"/>
      <c r="G381" s="15"/>
      <c r="H381" s="15">
        <f>SUM(D381:G381)</f>
        <v>0</v>
      </c>
      <c r="I381" s="639"/>
      <c r="J381" s="15"/>
      <c r="K381" s="640"/>
      <c r="L381" s="10"/>
      <c r="M381" s="10"/>
    </row>
    <row r="382" spans="1:13" s="1" customFormat="1">
      <c r="A382" s="1381" t="s">
        <v>144</v>
      </c>
      <c r="B382" s="194" t="s">
        <v>158</v>
      </c>
      <c r="C382" s="1383"/>
      <c r="D382" s="15"/>
      <c r="E382" s="15"/>
      <c r="F382" s="15"/>
      <c r="G382" s="15"/>
      <c r="H382" s="15">
        <f t="shared" ref="H382:H386" si="48">SUM(D382:G382)</f>
        <v>0</v>
      </c>
      <c r="I382" s="639"/>
      <c r="J382" s="15">
        <f>SUM(C382-H382)</f>
        <v>0</v>
      </c>
      <c r="K382" s="640">
        <f>+M382-I382</f>
        <v>0</v>
      </c>
      <c r="L382" s="10"/>
      <c r="M382" s="10"/>
    </row>
    <row r="383" spans="1:13" s="1" customFormat="1">
      <c r="A383" s="1382"/>
      <c r="B383" s="194" t="s">
        <v>159</v>
      </c>
      <c r="C383" s="1383"/>
      <c r="D383" s="15"/>
      <c r="E383" s="15"/>
      <c r="F383" s="15"/>
      <c r="G383" s="15"/>
      <c r="H383" s="15">
        <f t="shared" si="48"/>
        <v>0</v>
      </c>
      <c r="I383" s="639"/>
      <c r="J383" s="15"/>
      <c r="K383" s="640"/>
      <c r="L383" s="10"/>
      <c r="M383" s="10"/>
    </row>
    <row r="384" spans="1:13" s="1" customFormat="1">
      <c r="A384" s="1381" t="s">
        <v>145</v>
      </c>
      <c r="B384" s="194" t="s">
        <v>158</v>
      </c>
      <c r="C384" s="1383">
        <v>8</v>
      </c>
      <c r="D384" s="15"/>
      <c r="E384" s="15"/>
      <c r="F384" s="15">
        <v>4</v>
      </c>
      <c r="G384" s="15"/>
      <c r="H384" s="15">
        <f t="shared" si="48"/>
        <v>4</v>
      </c>
      <c r="I384" s="639">
        <v>8.1449999999999996</v>
      </c>
      <c r="J384" s="15">
        <f>SUM(C384-H384)</f>
        <v>4</v>
      </c>
      <c r="K384" s="640">
        <f>+M384-I384</f>
        <v>4.3840000000000003</v>
      </c>
      <c r="L384" s="10"/>
      <c r="M384" s="10">
        <v>12.529</v>
      </c>
    </row>
    <row r="385" spans="1:13" s="1" customFormat="1">
      <c r="A385" s="1382"/>
      <c r="B385" s="194" t="s">
        <v>159</v>
      </c>
      <c r="C385" s="1383"/>
      <c r="D385" s="15"/>
      <c r="E385" s="15"/>
      <c r="F385" s="15"/>
      <c r="G385" s="15"/>
      <c r="H385" s="15">
        <f t="shared" si="48"/>
        <v>0</v>
      </c>
      <c r="I385" s="639"/>
      <c r="J385" s="15"/>
      <c r="K385" s="640"/>
      <c r="M385" s="10"/>
    </row>
    <row r="386" spans="1:13" s="1" customFormat="1">
      <c r="A386" s="602" t="s">
        <v>146</v>
      </c>
      <c r="B386" s="194" t="s">
        <v>158</v>
      </c>
      <c r="C386" s="604">
        <v>24</v>
      </c>
      <c r="D386" s="15"/>
      <c r="E386" s="15"/>
      <c r="F386" s="15">
        <v>6</v>
      </c>
      <c r="G386" s="15">
        <v>13</v>
      </c>
      <c r="H386" s="15">
        <f t="shared" si="48"/>
        <v>19</v>
      </c>
      <c r="I386" s="639">
        <v>31.513999999999999</v>
      </c>
      <c r="J386" s="15">
        <f>SUM(C386-H386)</f>
        <v>5</v>
      </c>
      <c r="K386" s="640">
        <f>+M386-I386</f>
        <v>3.9450000000000038</v>
      </c>
      <c r="M386" s="10">
        <v>35.459000000000003</v>
      </c>
    </row>
    <row r="387" spans="1:13" s="1" customFormat="1" ht="15">
      <c r="A387" s="1384" t="s">
        <v>893</v>
      </c>
      <c r="B387" s="1385"/>
      <c r="C387" s="402">
        <f t="shared" ref="C387:K387" si="49">SUM(C380:C386)</f>
        <v>32</v>
      </c>
      <c r="D387" s="402">
        <f t="shared" si="49"/>
        <v>0</v>
      </c>
      <c r="E387" s="402">
        <f t="shared" si="49"/>
        <v>0</v>
      </c>
      <c r="F387" s="402">
        <f t="shared" si="49"/>
        <v>10</v>
      </c>
      <c r="G387" s="402">
        <f t="shared" si="49"/>
        <v>13</v>
      </c>
      <c r="H387" s="402">
        <f t="shared" si="49"/>
        <v>23</v>
      </c>
      <c r="I387" s="641">
        <f t="shared" si="49"/>
        <v>39.658999999999999</v>
      </c>
      <c r="J387" s="402">
        <f t="shared" si="49"/>
        <v>9</v>
      </c>
      <c r="K387" s="642">
        <f t="shared" si="49"/>
        <v>8.3290000000000042</v>
      </c>
    </row>
    <row r="388" spans="1:13" s="1" customFormat="1" ht="15">
      <c r="A388" s="1388"/>
      <c r="B388" s="1389"/>
      <c r="C388" s="1389"/>
      <c r="D388" s="1389"/>
      <c r="E388" s="1389"/>
      <c r="F388" s="1389"/>
      <c r="G388" s="1389"/>
      <c r="H388" s="1389"/>
      <c r="I388" s="1389"/>
      <c r="J388" s="1389"/>
      <c r="K388" s="1390"/>
    </row>
    <row r="389" spans="1:13" s="1" customFormat="1" ht="12.75">
      <c r="A389" s="1391" t="s">
        <v>864</v>
      </c>
      <c r="B389" s="1386" t="s">
        <v>865</v>
      </c>
      <c r="C389" s="1386" t="s">
        <v>133</v>
      </c>
      <c r="D389" s="1392" t="str">
        <f>+$D$35</f>
        <v>Status during last FY 2017-18</v>
      </c>
      <c r="E389" s="1392"/>
      <c r="F389" s="1392"/>
      <c r="G389" s="1392"/>
      <c r="H389" s="1392"/>
      <c r="I389" s="1392"/>
      <c r="J389" s="1392"/>
      <c r="K389" s="1392"/>
    </row>
    <row r="390" spans="1:13" s="1" customFormat="1" ht="12.75">
      <c r="A390" s="1391"/>
      <c r="B390" s="1386"/>
      <c r="C390" s="1386"/>
      <c r="D390" s="1393" t="s">
        <v>134</v>
      </c>
      <c r="E390" s="1393"/>
      <c r="F390" s="1393"/>
      <c r="G390" s="1393"/>
      <c r="H390" s="1393"/>
      <c r="I390" s="1393"/>
      <c r="J390" s="1393" t="s">
        <v>135</v>
      </c>
      <c r="K390" s="1394"/>
    </row>
    <row r="391" spans="1:13" s="1" customFormat="1" ht="12.75">
      <c r="A391" s="1391"/>
      <c r="B391" s="1386"/>
      <c r="C391" s="1386"/>
      <c r="D391" s="1386" t="s">
        <v>136</v>
      </c>
      <c r="E391" s="1386"/>
      <c r="F391" s="1386" t="s">
        <v>137</v>
      </c>
      <c r="G391" s="1386"/>
      <c r="H391" s="1386" t="s">
        <v>138</v>
      </c>
      <c r="I391" s="1387" t="s">
        <v>866</v>
      </c>
      <c r="J391" s="1386" t="s">
        <v>139</v>
      </c>
      <c r="K391" s="1387" t="s">
        <v>866</v>
      </c>
    </row>
    <row r="392" spans="1:13" s="1" customFormat="1" ht="12.75">
      <c r="A392" s="1391"/>
      <c r="B392" s="1386"/>
      <c r="C392" s="1386"/>
      <c r="D392" s="603" t="s">
        <v>140</v>
      </c>
      <c r="E392" s="603" t="s">
        <v>141</v>
      </c>
      <c r="F392" s="603" t="s">
        <v>140</v>
      </c>
      <c r="G392" s="603" t="s">
        <v>141</v>
      </c>
      <c r="H392" s="1386"/>
      <c r="I392" s="1387"/>
      <c r="J392" s="1386"/>
      <c r="K392" s="1387"/>
    </row>
    <row r="393" spans="1:13" s="1" customFormat="1">
      <c r="A393" s="1381" t="s">
        <v>143</v>
      </c>
      <c r="B393" s="194" t="s">
        <v>158</v>
      </c>
      <c r="C393" s="1383"/>
      <c r="D393" s="15"/>
      <c r="E393" s="15"/>
      <c r="F393" s="15"/>
      <c r="G393" s="15"/>
      <c r="H393" s="15">
        <f t="shared" ref="H393:H399" si="50">D393+E393+F393+G393</f>
        <v>0</v>
      </c>
      <c r="I393" s="639"/>
      <c r="J393" s="15">
        <f>SUM(C393-H393)</f>
        <v>0</v>
      </c>
      <c r="K393" s="640"/>
    </row>
    <row r="394" spans="1:13" s="1" customFormat="1">
      <c r="A394" s="1382"/>
      <c r="B394" s="194" t="s">
        <v>159</v>
      </c>
      <c r="C394" s="1383"/>
      <c r="D394" s="15"/>
      <c r="E394" s="15"/>
      <c r="F394" s="15"/>
      <c r="G394" s="15"/>
      <c r="H394" s="15">
        <f t="shared" si="50"/>
        <v>0</v>
      </c>
      <c r="I394" s="639"/>
      <c r="J394" s="15"/>
      <c r="K394" s="640"/>
    </row>
    <row r="395" spans="1:13" s="1" customFormat="1">
      <c r="A395" s="1381" t="s">
        <v>144</v>
      </c>
      <c r="B395" s="194" t="s">
        <v>158</v>
      </c>
      <c r="C395" s="1383"/>
      <c r="D395" s="15"/>
      <c r="E395" s="15"/>
      <c r="F395" s="15"/>
      <c r="G395" s="15"/>
      <c r="H395" s="15">
        <f t="shared" si="50"/>
        <v>0</v>
      </c>
      <c r="I395" s="639"/>
      <c r="J395" s="15">
        <f>SUM(C395-H395)</f>
        <v>0</v>
      </c>
      <c r="K395" s="640"/>
    </row>
    <row r="396" spans="1:13" s="1" customFormat="1">
      <c r="A396" s="1382"/>
      <c r="B396" s="194" t="s">
        <v>159</v>
      </c>
      <c r="C396" s="1383"/>
      <c r="D396" s="15"/>
      <c r="E396" s="15"/>
      <c r="F396" s="15"/>
      <c r="G396" s="15"/>
      <c r="H396" s="15">
        <f t="shared" si="50"/>
        <v>0</v>
      </c>
      <c r="I396" s="639"/>
      <c r="J396" s="15"/>
      <c r="K396" s="640"/>
    </row>
    <row r="397" spans="1:13" s="1" customFormat="1">
      <c r="A397" s="1381" t="s">
        <v>145</v>
      </c>
      <c r="B397" s="194" t="s">
        <v>158</v>
      </c>
      <c r="C397" s="1383">
        <v>8</v>
      </c>
      <c r="D397" s="15"/>
      <c r="E397" s="15"/>
      <c r="F397" s="15">
        <v>4</v>
      </c>
      <c r="G397" s="15">
        <v>1</v>
      </c>
      <c r="H397" s="15">
        <f t="shared" si="50"/>
        <v>5</v>
      </c>
      <c r="I397" s="639">
        <v>9.2750000000000004</v>
      </c>
      <c r="J397" s="15">
        <f>SUM(C397-H397)</f>
        <v>3</v>
      </c>
      <c r="K397" s="640">
        <v>3.8550000000000004</v>
      </c>
    </row>
    <row r="398" spans="1:13" s="1" customFormat="1">
      <c r="A398" s="1382"/>
      <c r="B398" s="194" t="s">
        <v>159</v>
      </c>
      <c r="C398" s="1383"/>
      <c r="D398" s="15"/>
      <c r="E398" s="15"/>
      <c r="F398" s="15"/>
      <c r="G398" s="15"/>
      <c r="H398" s="15">
        <f t="shared" si="50"/>
        <v>0</v>
      </c>
      <c r="I398" s="639"/>
      <c r="J398" s="15"/>
      <c r="K398" s="640"/>
    </row>
    <row r="399" spans="1:13" s="1" customFormat="1">
      <c r="A399" s="602" t="s">
        <v>146</v>
      </c>
      <c r="B399" s="194" t="s">
        <v>158</v>
      </c>
      <c r="C399" s="604">
        <v>24</v>
      </c>
      <c r="D399" s="15"/>
      <c r="E399" s="15"/>
      <c r="F399" s="15">
        <v>8</v>
      </c>
      <c r="G399" s="15">
        <v>14</v>
      </c>
      <c r="H399" s="15">
        <f t="shared" si="50"/>
        <v>22</v>
      </c>
      <c r="I399" s="639">
        <v>34.255000000000003</v>
      </c>
      <c r="J399" s="15">
        <f>SUM(C399-H399)</f>
        <v>2</v>
      </c>
      <c r="K399" s="640">
        <v>1.7119999999999962</v>
      </c>
    </row>
    <row r="400" spans="1:13" s="1" customFormat="1" ht="15">
      <c r="A400" s="1384" t="s">
        <v>893</v>
      </c>
      <c r="B400" s="1385"/>
      <c r="C400" s="402">
        <f t="shared" ref="C400:K400" si="51">SUM(C393:C399)</f>
        <v>32</v>
      </c>
      <c r="D400" s="402">
        <f t="shared" si="51"/>
        <v>0</v>
      </c>
      <c r="E400" s="402">
        <f t="shared" si="51"/>
        <v>0</v>
      </c>
      <c r="F400" s="402">
        <f t="shared" si="51"/>
        <v>12</v>
      </c>
      <c r="G400" s="402">
        <f t="shared" si="51"/>
        <v>15</v>
      </c>
      <c r="H400" s="402">
        <f t="shared" si="51"/>
        <v>27</v>
      </c>
      <c r="I400" s="641">
        <f t="shared" si="51"/>
        <v>43.53</v>
      </c>
      <c r="J400" s="402">
        <f t="shared" si="51"/>
        <v>5</v>
      </c>
      <c r="K400" s="642">
        <f t="shared" si="51"/>
        <v>5.5669999999999966</v>
      </c>
    </row>
  </sheetData>
  <mergeCells count="2072">
    <mergeCell ref="J10:K10"/>
    <mergeCell ref="D11:E11"/>
    <mergeCell ref="F11:G11"/>
    <mergeCell ref="H11:H12"/>
    <mergeCell ref="I11:I12"/>
    <mergeCell ref="J11:J12"/>
    <mergeCell ref="K11:K12"/>
    <mergeCell ref="A2:K2"/>
    <mergeCell ref="A4:K4"/>
    <mergeCell ref="A6:K6"/>
    <mergeCell ref="J7:K7"/>
    <mergeCell ref="A8:K8"/>
    <mergeCell ref="A9:A12"/>
    <mergeCell ref="B9:B12"/>
    <mergeCell ref="C9:C12"/>
    <mergeCell ref="D9:K9"/>
    <mergeCell ref="D10:I10"/>
    <mergeCell ref="H24:H25"/>
    <mergeCell ref="I24:I25"/>
    <mergeCell ref="J24:J25"/>
    <mergeCell ref="K24:K25"/>
    <mergeCell ref="A26:A27"/>
    <mergeCell ref="C26:C27"/>
    <mergeCell ref="A20:B20"/>
    <mergeCell ref="A21:K21"/>
    <mergeCell ref="A22:A25"/>
    <mergeCell ref="B22:B25"/>
    <mergeCell ref="C22:C25"/>
    <mergeCell ref="D22:K22"/>
    <mergeCell ref="D23:I23"/>
    <mergeCell ref="J23:K23"/>
    <mergeCell ref="D24:E24"/>
    <mergeCell ref="F24:G24"/>
    <mergeCell ref="A13:A14"/>
    <mergeCell ref="C13:C14"/>
    <mergeCell ref="A15:A16"/>
    <mergeCell ref="C15:C16"/>
    <mergeCell ref="A17:A18"/>
    <mergeCell ref="C17:C18"/>
    <mergeCell ref="J37:J38"/>
    <mergeCell ref="K37:K38"/>
    <mergeCell ref="A39:A40"/>
    <mergeCell ref="C39:C40"/>
    <mergeCell ref="A41:A42"/>
    <mergeCell ref="C41:C42"/>
    <mergeCell ref="A35:A38"/>
    <mergeCell ref="B35:B38"/>
    <mergeCell ref="C35:C38"/>
    <mergeCell ref="D35:K35"/>
    <mergeCell ref="D36:I36"/>
    <mergeCell ref="J36:K36"/>
    <mergeCell ref="D37:E37"/>
    <mergeCell ref="F37:G37"/>
    <mergeCell ref="H37:H38"/>
    <mergeCell ref="I37:I38"/>
    <mergeCell ref="A28:A29"/>
    <mergeCell ref="C28:C29"/>
    <mergeCell ref="A30:A31"/>
    <mergeCell ref="C30:C31"/>
    <mergeCell ref="A33:B33"/>
    <mergeCell ref="A34:K34"/>
    <mergeCell ref="DG46:DH46"/>
    <mergeCell ref="DR46:DS46"/>
    <mergeCell ref="EC46:ED46"/>
    <mergeCell ref="EN46:EO46"/>
    <mergeCell ref="EY46:EZ46"/>
    <mergeCell ref="FJ46:FK46"/>
    <mergeCell ref="AS46:AT46"/>
    <mergeCell ref="BD46:BE46"/>
    <mergeCell ref="BO46:BP46"/>
    <mergeCell ref="BZ46:CA46"/>
    <mergeCell ref="CK46:CL46"/>
    <mergeCell ref="CV46:CW46"/>
    <mergeCell ref="A43:A44"/>
    <mergeCell ref="C43:C44"/>
    <mergeCell ref="A46:B46"/>
    <mergeCell ref="L46:M46"/>
    <mergeCell ref="W46:X46"/>
    <mergeCell ref="AH46:AI46"/>
    <mergeCell ref="KW46:KX46"/>
    <mergeCell ref="LH46:LI46"/>
    <mergeCell ref="LS46:LT46"/>
    <mergeCell ref="MD46:ME46"/>
    <mergeCell ref="MO46:MP46"/>
    <mergeCell ref="MZ46:NA46"/>
    <mergeCell ref="II46:IJ46"/>
    <mergeCell ref="IT46:IU46"/>
    <mergeCell ref="JE46:JF46"/>
    <mergeCell ref="JP46:JQ46"/>
    <mergeCell ref="KA46:KB46"/>
    <mergeCell ref="KL46:KM46"/>
    <mergeCell ref="FU46:FV46"/>
    <mergeCell ref="GF46:GG46"/>
    <mergeCell ref="GQ46:GR46"/>
    <mergeCell ref="HB46:HC46"/>
    <mergeCell ref="HM46:HN46"/>
    <mergeCell ref="HX46:HY46"/>
    <mergeCell ref="SM46:SN46"/>
    <mergeCell ref="SX46:SY46"/>
    <mergeCell ref="TI46:TJ46"/>
    <mergeCell ref="TT46:TU46"/>
    <mergeCell ref="UE46:UF46"/>
    <mergeCell ref="UP46:UQ46"/>
    <mergeCell ref="PY46:PZ46"/>
    <mergeCell ref="QJ46:QK46"/>
    <mergeCell ref="QU46:QV46"/>
    <mergeCell ref="RF46:RG46"/>
    <mergeCell ref="RQ46:RR46"/>
    <mergeCell ref="SB46:SC46"/>
    <mergeCell ref="NK46:NL46"/>
    <mergeCell ref="NV46:NW46"/>
    <mergeCell ref="OG46:OH46"/>
    <mergeCell ref="OR46:OS46"/>
    <mergeCell ref="PC46:PD46"/>
    <mergeCell ref="PN46:PO46"/>
    <mergeCell ref="AAC46:AAD46"/>
    <mergeCell ref="AAN46:AAO46"/>
    <mergeCell ref="AAY46:AAZ46"/>
    <mergeCell ref="ABJ46:ABK46"/>
    <mergeCell ref="ABU46:ABV46"/>
    <mergeCell ref="ACF46:ACG46"/>
    <mergeCell ref="XO46:XP46"/>
    <mergeCell ref="XZ46:YA46"/>
    <mergeCell ref="YK46:YL46"/>
    <mergeCell ref="YV46:YW46"/>
    <mergeCell ref="ZG46:ZH46"/>
    <mergeCell ref="ZR46:ZS46"/>
    <mergeCell ref="VA46:VB46"/>
    <mergeCell ref="VL46:VM46"/>
    <mergeCell ref="VW46:VX46"/>
    <mergeCell ref="WH46:WI46"/>
    <mergeCell ref="WS46:WT46"/>
    <mergeCell ref="XD46:XE46"/>
    <mergeCell ref="AHS46:AHT46"/>
    <mergeCell ref="AID46:AIE46"/>
    <mergeCell ref="AIO46:AIP46"/>
    <mergeCell ref="AIZ46:AJA46"/>
    <mergeCell ref="AJK46:AJL46"/>
    <mergeCell ref="AJV46:AJW46"/>
    <mergeCell ref="AFE46:AFF46"/>
    <mergeCell ref="AFP46:AFQ46"/>
    <mergeCell ref="AGA46:AGB46"/>
    <mergeCell ref="AGL46:AGM46"/>
    <mergeCell ref="AGW46:AGX46"/>
    <mergeCell ref="AHH46:AHI46"/>
    <mergeCell ref="ACQ46:ACR46"/>
    <mergeCell ref="ADB46:ADC46"/>
    <mergeCell ref="ADM46:ADN46"/>
    <mergeCell ref="ADX46:ADY46"/>
    <mergeCell ref="AEI46:AEJ46"/>
    <mergeCell ref="AET46:AEU46"/>
    <mergeCell ref="API46:APJ46"/>
    <mergeCell ref="APT46:APU46"/>
    <mergeCell ref="AQE46:AQF46"/>
    <mergeCell ref="AQP46:AQQ46"/>
    <mergeCell ref="ARA46:ARB46"/>
    <mergeCell ref="ARL46:ARM46"/>
    <mergeCell ref="AMU46:AMV46"/>
    <mergeCell ref="ANF46:ANG46"/>
    <mergeCell ref="ANQ46:ANR46"/>
    <mergeCell ref="AOB46:AOC46"/>
    <mergeCell ref="AOM46:AON46"/>
    <mergeCell ref="AOX46:AOY46"/>
    <mergeCell ref="AKG46:AKH46"/>
    <mergeCell ref="AKR46:AKS46"/>
    <mergeCell ref="ALC46:ALD46"/>
    <mergeCell ref="ALN46:ALO46"/>
    <mergeCell ref="ALY46:ALZ46"/>
    <mergeCell ref="AMJ46:AMK46"/>
    <mergeCell ref="AWY46:AWZ46"/>
    <mergeCell ref="AXJ46:AXK46"/>
    <mergeCell ref="AXU46:AXV46"/>
    <mergeCell ref="AYF46:AYG46"/>
    <mergeCell ref="AYQ46:AYR46"/>
    <mergeCell ref="AZB46:AZC46"/>
    <mergeCell ref="AUK46:AUL46"/>
    <mergeCell ref="AUV46:AUW46"/>
    <mergeCell ref="AVG46:AVH46"/>
    <mergeCell ref="AVR46:AVS46"/>
    <mergeCell ref="AWC46:AWD46"/>
    <mergeCell ref="AWN46:AWO46"/>
    <mergeCell ref="ARW46:ARX46"/>
    <mergeCell ref="ASH46:ASI46"/>
    <mergeCell ref="ASS46:AST46"/>
    <mergeCell ref="ATD46:ATE46"/>
    <mergeCell ref="ATO46:ATP46"/>
    <mergeCell ref="ATZ46:AUA46"/>
    <mergeCell ref="BEO46:BEP46"/>
    <mergeCell ref="BEZ46:BFA46"/>
    <mergeCell ref="BFK46:BFL46"/>
    <mergeCell ref="BFV46:BFW46"/>
    <mergeCell ref="BGG46:BGH46"/>
    <mergeCell ref="BGR46:BGS46"/>
    <mergeCell ref="BCA46:BCB46"/>
    <mergeCell ref="BCL46:BCM46"/>
    <mergeCell ref="BCW46:BCX46"/>
    <mergeCell ref="BDH46:BDI46"/>
    <mergeCell ref="BDS46:BDT46"/>
    <mergeCell ref="BED46:BEE46"/>
    <mergeCell ref="AZM46:AZN46"/>
    <mergeCell ref="AZX46:AZY46"/>
    <mergeCell ref="BAI46:BAJ46"/>
    <mergeCell ref="BAT46:BAU46"/>
    <mergeCell ref="BBE46:BBF46"/>
    <mergeCell ref="BBP46:BBQ46"/>
    <mergeCell ref="BME46:BMF46"/>
    <mergeCell ref="BMP46:BMQ46"/>
    <mergeCell ref="BNA46:BNB46"/>
    <mergeCell ref="BNL46:BNM46"/>
    <mergeCell ref="BNW46:BNX46"/>
    <mergeCell ref="BOH46:BOI46"/>
    <mergeCell ref="BJQ46:BJR46"/>
    <mergeCell ref="BKB46:BKC46"/>
    <mergeCell ref="BKM46:BKN46"/>
    <mergeCell ref="BKX46:BKY46"/>
    <mergeCell ref="BLI46:BLJ46"/>
    <mergeCell ref="BLT46:BLU46"/>
    <mergeCell ref="BHC46:BHD46"/>
    <mergeCell ref="BHN46:BHO46"/>
    <mergeCell ref="BHY46:BHZ46"/>
    <mergeCell ref="BIJ46:BIK46"/>
    <mergeCell ref="BIU46:BIV46"/>
    <mergeCell ref="BJF46:BJG46"/>
    <mergeCell ref="BTU46:BTV46"/>
    <mergeCell ref="BUF46:BUG46"/>
    <mergeCell ref="BUQ46:BUR46"/>
    <mergeCell ref="BVB46:BVC46"/>
    <mergeCell ref="BVM46:BVN46"/>
    <mergeCell ref="BVX46:BVY46"/>
    <mergeCell ref="BRG46:BRH46"/>
    <mergeCell ref="BRR46:BRS46"/>
    <mergeCell ref="BSC46:BSD46"/>
    <mergeCell ref="BSN46:BSO46"/>
    <mergeCell ref="BSY46:BSZ46"/>
    <mergeCell ref="BTJ46:BTK46"/>
    <mergeCell ref="BOS46:BOT46"/>
    <mergeCell ref="BPD46:BPE46"/>
    <mergeCell ref="BPO46:BPP46"/>
    <mergeCell ref="BPZ46:BQA46"/>
    <mergeCell ref="BQK46:BQL46"/>
    <mergeCell ref="BQV46:BQW46"/>
    <mergeCell ref="CBK46:CBL46"/>
    <mergeCell ref="CBV46:CBW46"/>
    <mergeCell ref="CCG46:CCH46"/>
    <mergeCell ref="CCR46:CCS46"/>
    <mergeCell ref="CDC46:CDD46"/>
    <mergeCell ref="CDN46:CDO46"/>
    <mergeCell ref="BYW46:BYX46"/>
    <mergeCell ref="BZH46:BZI46"/>
    <mergeCell ref="BZS46:BZT46"/>
    <mergeCell ref="CAD46:CAE46"/>
    <mergeCell ref="CAO46:CAP46"/>
    <mergeCell ref="CAZ46:CBA46"/>
    <mergeCell ref="BWI46:BWJ46"/>
    <mergeCell ref="BWT46:BWU46"/>
    <mergeCell ref="BXE46:BXF46"/>
    <mergeCell ref="BXP46:BXQ46"/>
    <mergeCell ref="BYA46:BYB46"/>
    <mergeCell ref="BYL46:BYM46"/>
    <mergeCell ref="CJA46:CJB46"/>
    <mergeCell ref="CJL46:CJM46"/>
    <mergeCell ref="CJW46:CJX46"/>
    <mergeCell ref="CKH46:CKI46"/>
    <mergeCell ref="CKS46:CKT46"/>
    <mergeCell ref="CLD46:CLE46"/>
    <mergeCell ref="CGM46:CGN46"/>
    <mergeCell ref="CGX46:CGY46"/>
    <mergeCell ref="CHI46:CHJ46"/>
    <mergeCell ref="CHT46:CHU46"/>
    <mergeCell ref="CIE46:CIF46"/>
    <mergeCell ref="CIP46:CIQ46"/>
    <mergeCell ref="CDY46:CDZ46"/>
    <mergeCell ref="CEJ46:CEK46"/>
    <mergeCell ref="CEU46:CEV46"/>
    <mergeCell ref="CFF46:CFG46"/>
    <mergeCell ref="CFQ46:CFR46"/>
    <mergeCell ref="CGB46:CGC46"/>
    <mergeCell ref="CQQ46:CQR46"/>
    <mergeCell ref="CRB46:CRC46"/>
    <mergeCell ref="CRM46:CRN46"/>
    <mergeCell ref="CRX46:CRY46"/>
    <mergeCell ref="CSI46:CSJ46"/>
    <mergeCell ref="CST46:CSU46"/>
    <mergeCell ref="COC46:COD46"/>
    <mergeCell ref="CON46:COO46"/>
    <mergeCell ref="COY46:COZ46"/>
    <mergeCell ref="CPJ46:CPK46"/>
    <mergeCell ref="CPU46:CPV46"/>
    <mergeCell ref="CQF46:CQG46"/>
    <mergeCell ref="CLO46:CLP46"/>
    <mergeCell ref="CLZ46:CMA46"/>
    <mergeCell ref="CMK46:CML46"/>
    <mergeCell ref="CMV46:CMW46"/>
    <mergeCell ref="CNG46:CNH46"/>
    <mergeCell ref="CNR46:CNS46"/>
    <mergeCell ref="CYG46:CYH46"/>
    <mergeCell ref="CYR46:CYS46"/>
    <mergeCell ref="CZC46:CZD46"/>
    <mergeCell ref="CZN46:CZO46"/>
    <mergeCell ref="CZY46:CZZ46"/>
    <mergeCell ref="DAJ46:DAK46"/>
    <mergeCell ref="CVS46:CVT46"/>
    <mergeCell ref="CWD46:CWE46"/>
    <mergeCell ref="CWO46:CWP46"/>
    <mergeCell ref="CWZ46:CXA46"/>
    <mergeCell ref="CXK46:CXL46"/>
    <mergeCell ref="CXV46:CXW46"/>
    <mergeCell ref="CTE46:CTF46"/>
    <mergeCell ref="CTP46:CTQ46"/>
    <mergeCell ref="CUA46:CUB46"/>
    <mergeCell ref="CUL46:CUM46"/>
    <mergeCell ref="CUW46:CUX46"/>
    <mergeCell ref="CVH46:CVI46"/>
    <mergeCell ref="DFW46:DFX46"/>
    <mergeCell ref="DGH46:DGI46"/>
    <mergeCell ref="DGS46:DGT46"/>
    <mergeCell ref="DHD46:DHE46"/>
    <mergeCell ref="DHO46:DHP46"/>
    <mergeCell ref="DHZ46:DIA46"/>
    <mergeCell ref="DDI46:DDJ46"/>
    <mergeCell ref="DDT46:DDU46"/>
    <mergeCell ref="DEE46:DEF46"/>
    <mergeCell ref="DEP46:DEQ46"/>
    <mergeCell ref="DFA46:DFB46"/>
    <mergeCell ref="DFL46:DFM46"/>
    <mergeCell ref="DAU46:DAV46"/>
    <mergeCell ref="DBF46:DBG46"/>
    <mergeCell ref="DBQ46:DBR46"/>
    <mergeCell ref="DCB46:DCC46"/>
    <mergeCell ref="DCM46:DCN46"/>
    <mergeCell ref="DCX46:DCY46"/>
    <mergeCell ref="DNM46:DNN46"/>
    <mergeCell ref="DNX46:DNY46"/>
    <mergeCell ref="DOI46:DOJ46"/>
    <mergeCell ref="DOT46:DOU46"/>
    <mergeCell ref="DPE46:DPF46"/>
    <mergeCell ref="DPP46:DPQ46"/>
    <mergeCell ref="DKY46:DKZ46"/>
    <mergeCell ref="DLJ46:DLK46"/>
    <mergeCell ref="DLU46:DLV46"/>
    <mergeCell ref="DMF46:DMG46"/>
    <mergeCell ref="DMQ46:DMR46"/>
    <mergeCell ref="DNB46:DNC46"/>
    <mergeCell ref="DIK46:DIL46"/>
    <mergeCell ref="DIV46:DIW46"/>
    <mergeCell ref="DJG46:DJH46"/>
    <mergeCell ref="DJR46:DJS46"/>
    <mergeCell ref="DKC46:DKD46"/>
    <mergeCell ref="DKN46:DKO46"/>
    <mergeCell ref="DVC46:DVD46"/>
    <mergeCell ref="DVN46:DVO46"/>
    <mergeCell ref="DVY46:DVZ46"/>
    <mergeCell ref="DWJ46:DWK46"/>
    <mergeCell ref="DWU46:DWV46"/>
    <mergeCell ref="DXF46:DXG46"/>
    <mergeCell ref="DSO46:DSP46"/>
    <mergeCell ref="DSZ46:DTA46"/>
    <mergeCell ref="DTK46:DTL46"/>
    <mergeCell ref="DTV46:DTW46"/>
    <mergeCell ref="DUG46:DUH46"/>
    <mergeCell ref="DUR46:DUS46"/>
    <mergeCell ref="DQA46:DQB46"/>
    <mergeCell ref="DQL46:DQM46"/>
    <mergeCell ref="DQW46:DQX46"/>
    <mergeCell ref="DRH46:DRI46"/>
    <mergeCell ref="DRS46:DRT46"/>
    <mergeCell ref="DSD46:DSE46"/>
    <mergeCell ref="ECS46:ECT46"/>
    <mergeCell ref="EDD46:EDE46"/>
    <mergeCell ref="EDO46:EDP46"/>
    <mergeCell ref="EDZ46:EEA46"/>
    <mergeCell ref="EEK46:EEL46"/>
    <mergeCell ref="EEV46:EEW46"/>
    <mergeCell ref="EAE46:EAF46"/>
    <mergeCell ref="EAP46:EAQ46"/>
    <mergeCell ref="EBA46:EBB46"/>
    <mergeCell ref="EBL46:EBM46"/>
    <mergeCell ref="EBW46:EBX46"/>
    <mergeCell ref="ECH46:ECI46"/>
    <mergeCell ref="DXQ46:DXR46"/>
    <mergeCell ref="DYB46:DYC46"/>
    <mergeCell ref="DYM46:DYN46"/>
    <mergeCell ref="DYX46:DYY46"/>
    <mergeCell ref="DZI46:DZJ46"/>
    <mergeCell ref="DZT46:DZU46"/>
    <mergeCell ref="EKI46:EKJ46"/>
    <mergeCell ref="EKT46:EKU46"/>
    <mergeCell ref="ELE46:ELF46"/>
    <mergeCell ref="ELP46:ELQ46"/>
    <mergeCell ref="EMA46:EMB46"/>
    <mergeCell ref="EML46:EMM46"/>
    <mergeCell ref="EHU46:EHV46"/>
    <mergeCell ref="EIF46:EIG46"/>
    <mergeCell ref="EIQ46:EIR46"/>
    <mergeCell ref="EJB46:EJC46"/>
    <mergeCell ref="EJM46:EJN46"/>
    <mergeCell ref="EJX46:EJY46"/>
    <mergeCell ref="EFG46:EFH46"/>
    <mergeCell ref="EFR46:EFS46"/>
    <mergeCell ref="EGC46:EGD46"/>
    <mergeCell ref="EGN46:EGO46"/>
    <mergeCell ref="EGY46:EGZ46"/>
    <mergeCell ref="EHJ46:EHK46"/>
    <mergeCell ref="ERY46:ERZ46"/>
    <mergeCell ref="ESJ46:ESK46"/>
    <mergeCell ref="ESU46:ESV46"/>
    <mergeCell ref="ETF46:ETG46"/>
    <mergeCell ref="ETQ46:ETR46"/>
    <mergeCell ref="EUB46:EUC46"/>
    <mergeCell ref="EPK46:EPL46"/>
    <mergeCell ref="EPV46:EPW46"/>
    <mergeCell ref="EQG46:EQH46"/>
    <mergeCell ref="EQR46:EQS46"/>
    <mergeCell ref="ERC46:ERD46"/>
    <mergeCell ref="ERN46:ERO46"/>
    <mergeCell ref="EMW46:EMX46"/>
    <mergeCell ref="ENH46:ENI46"/>
    <mergeCell ref="ENS46:ENT46"/>
    <mergeCell ref="EOD46:EOE46"/>
    <mergeCell ref="EOO46:EOP46"/>
    <mergeCell ref="EOZ46:EPA46"/>
    <mergeCell ref="EZO46:EZP46"/>
    <mergeCell ref="EZZ46:FAA46"/>
    <mergeCell ref="FAK46:FAL46"/>
    <mergeCell ref="FAV46:FAW46"/>
    <mergeCell ref="FBG46:FBH46"/>
    <mergeCell ref="FBR46:FBS46"/>
    <mergeCell ref="EXA46:EXB46"/>
    <mergeCell ref="EXL46:EXM46"/>
    <mergeCell ref="EXW46:EXX46"/>
    <mergeCell ref="EYH46:EYI46"/>
    <mergeCell ref="EYS46:EYT46"/>
    <mergeCell ref="EZD46:EZE46"/>
    <mergeCell ref="EUM46:EUN46"/>
    <mergeCell ref="EUX46:EUY46"/>
    <mergeCell ref="EVI46:EVJ46"/>
    <mergeCell ref="EVT46:EVU46"/>
    <mergeCell ref="EWE46:EWF46"/>
    <mergeCell ref="EWP46:EWQ46"/>
    <mergeCell ref="FHE46:FHF46"/>
    <mergeCell ref="FHP46:FHQ46"/>
    <mergeCell ref="FIA46:FIB46"/>
    <mergeCell ref="FIL46:FIM46"/>
    <mergeCell ref="FIW46:FIX46"/>
    <mergeCell ref="FJH46:FJI46"/>
    <mergeCell ref="FEQ46:FER46"/>
    <mergeCell ref="FFB46:FFC46"/>
    <mergeCell ref="FFM46:FFN46"/>
    <mergeCell ref="FFX46:FFY46"/>
    <mergeCell ref="FGI46:FGJ46"/>
    <mergeCell ref="FGT46:FGU46"/>
    <mergeCell ref="FCC46:FCD46"/>
    <mergeCell ref="FCN46:FCO46"/>
    <mergeCell ref="FCY46:FCZ46"/>
    <mergeCell ref="FDJ46:FDK46"/>
    <mergeCell ref="FDU46:FDV46"/>
    <mergeCell ref="FEF46:FEG46"/>
    <mergeCell ref="FOU46:FOV46"/>
    <mergeCell ref="FPF46:FPG46"/>
    <mergeCell ref="FPQ46:FPR46"/>
    <mergeCell ref="FQB46:FQC46"/>
    <mergeCell ref="FQM46:FQN46"/>
    <mergeCell ref="FQX46:FQY46"/>
    <mergeCell ref="FMG46:FMH46"/>
    <mergeCell ref="FMR46:FMS46"/>
    <mergeCell ref="FNC46:FND46"/>
    <mergeCell ref="FNN46:FNO46"/>
    <mergeCell ref="FNY46:FNZ46"/>
    <mergeCell ref="FOJ46:FOK46"/>
    <mergeCell ref="FJS46:FJT46"/>
    <mergeCell ref="FKD46:FKE46"/>
    <mergeCell ref="FKO46:FKP46"/>
    <mergeCell ref="FKZ46:FLA46"/>
    <mergeCell ref="FLK46:FLL46"/>
    <mergeCell ref="FLV46:FLW46"/>
    <mergeCell ref="FWK46:FWL46"/>
    <mergeCell ref="FWV46:FWW46"/>
    <mergeCell ref="FXG46:FXH46"/>
    <mergeCell ref="FXR46:FXS46"/>
    <mergeCell ref="FYC46:FYD46"/>
    <mergeCell ref="FYN46:FYO46"/>
    <mergeCell ref="FTW46:FTX46"/>
    <mergeCell ref="FUH46:FUI46"/>
    <mergeCell ref="FUS46:FUT46"/>
    <mergeCell ref="FVD46:FVE46"/>
    <mergeCell ref="FVO46:FVP46"/>
    <mergeCell ref="FVZ46:FWA46"/>
    <mergeCell ref="FRI46:FRJ46"/>
    <mergeCell ref="FRT46:FRU46"/>
    <mergeCell ref="FSE46:FSF46"/>
    <mergeCell ref="FSP46:FSQ46"/>
    <mergeCell ref="FTA46:FTB46"/>
    <mergeCell ref="FTL46:FTM46"/>
    <mergeCell ref="GEA46:GEB46"/>
    <mergeCell ref="GEL46:GEM46"/>
    <mergeCell ref="GEW46:GEX46"/>
    <mergeCell ref="GFH46:GFI46"/>
    <mergeCell ref="GFS46:GFT46"/>
    <mergeCell ref="GGD46:GGE46"/>
    <mergeCell ref="GBM46:GBN46"/>
    <mergeCell ref="GBX46:GBY46"/>
    <mergeCell ref="GCI46:GCJ46"/>
    <mergeCell ref="GCT46:GCU46"/>
    <mergeCell ref="GDE46:GDF46"/>
    <mergeCell ref="GDP46:GDQ46"/>
    <mergeCell ref="FYY46:FYZ46"/>
    <mergeCell ref="FZJ46:FZK46"/>
    <mergeCell ref="FZU46:FZV46"/>
    <mergeCell ref="GAF46:GAG46"/>
    <mergeCell ref="GAQ46:GAR46"/>
    <mergeCell ref="GBB46:GBC46"/>
    <mergeCell ref="GLQ46:GLR46"/>
    <mergeCell ref="GMB46:GMC46"/>
    <mergeCell ref="GMM46:GMN46"/>
    <mergeCell ref="GMX46:GMY46"/>
    <mergeCell ref="GNI46:GNJ46"/>
    <mergeCell ref="GNT46:GNU46"/>
    <mergeCell ref="GJC46:GJD46"/>
    <mergeCell ref="GJN46:GJO46"/>
    <mergeCell ref="GJY46:GJZ46"/>
    <mergeCell ref="GKJ46:GKK46"/>
    <mergeCell ref="GKU46:GKV46"/>
    <mergeCell ref="GLF46:GLG46"/>
    <mergeCell ref="GGO46:GGP46"/>
    <mergeCell ref="GGZ46:GHA46"/>
    <mergeCell ref="GHK46:GHL46"/>
    <mergeCell ref="GHV46:GHW46"/>
    <mergeCell ref="GIG46:GIH46"/>
    <mergeCell ref="GIR46:GIS46"/>
    <mergeCell ref="GTG46:GTH46"/>
    <mergeCell ref="GTR46:GTS46"/>
    <mergeCell ref="GUC46:GUD46"/>
    <mergeCell ref="GUN46:GUO46"/>
    <mergeCell ref="GUY46:GUZ46"/>
    <mergeCell ref="GVJ46:GVK46"/>
    <mergeCell ref="GQS46:GQT46"/>
    <mergeCell ref="GRD46:GRE46"/>
    <mergeCell ref="GRO46:GRP46"/>
    <mergeCell ref="GRZ46:GSA46"/>
    <mergeCell ref="GSK46:GSL46"/>
    <mergeCell ref="GSV46:GSW46"/>
    <mergeCell ref="GOE46:GOF46"/>
    <mergeCell ref="GOP46:GOQ46"/>
    <mergeCell ref="GPA46:GPB46"/>
    <mergeCell ref="GPL46:GPM46"/>
    <mergeCell ref="GPW46:GPX46"/>
    <mergeCell ref="GQH46:GQI46"/>
    <mergeCell ref="HAW46:HAX46"/>
    <mergeCell ref="HBH46:HBI46"/>
    <mergeCell ref="HBS46:HBT46"/>
    <mergeCell ref="HCD46:HCE46"/>
    <mergeCell ref="HCO46:HCP46"/>
    <mergeCell ref="HCZ46:HDA46"/>
    <mergeCell ref="GYI46:GYJ46"/>
    <mergeCell ref="GYT46:GYU46"/>
    <mergeCell ref="GZE46:GZF46"/>
    <mergeCell ref="GZP46:GZQ46"/>
    <mergeCell ref="HAA46:HAB46"/>
    <mergeCell ref="HAL46:HAM46"/>
    <mergeCell ref="GVU46:GVV46"/>
    <mergeCell ref="GWF46:GWG46"/>
    <mergeCell ref="GWQ46:GWR46"/>
    <mergeCell ref="GXB46:GXC46"/>
    <mergeCell ref="GXM46:GXN46"/>
    <mergeCell ref="GXX46:GXY46"/>
    <mergeCell ref="HIM46:HIN46"/>
    <mergeCell ref="HIX46:HIY46"/>
    <mergeCell ref="HJI46:HJJ46"/>
    <mergeCell ref="HJT46:HJU46"/>
    <mergeCell ref="HKE46:HKF46"/>
    <mergeCell ref="HKP46:HKQ46"/>
    <mergeCell ref="HFY46:HFZ46"/>
    <mergeCell ref="HGJ46:HGK46"/>
    <mergeCell ref="HGU46:HGV46"/>
    <mergeCell ref="HHF46:HHG46"/>
    <mergeCell ref="HHQ46:HHR46"/>
    <mergeCell ref="HIB46:HIC46"/>
    <mergeCell ref="HDK46:HDL46"/>
    <mergeCell ref="HDV46:HDW46"/>
    <mergeCell ref="HEG46:HEH46"/>
    <mergeCell ref="HER46:HES46"/>
    <mergeCell ref="HFC46:HFD46"/>
    <mergeCell ref="HFN46:HFO46"/>
    <mergeCell ref="HQC46:HQD46"/>
    <mergeCell ref="HQN46:HQO46"/>
    <mergeCell ref="HQY46:HQZ46"/>
    <mergeCell ref="HRJ46:HRK46"/>
    <mergeCell ref="HRU46:HRV46"/>
    <mergeCell ref="HSF46:HSG46"/>
    <mergeCell ref="HNO46:HNP46"/>
    <mergeCell ref="HNZ46:HOA46"/>
    <mergeCell ref="HOK46:HOL46"/>
    <mergeCell ref="HOV46:HOW46"/>
    <mergeCell ref="HPG46:HPH46"/>
    <mergeCell ref="HPR46:HPS46"/>
    <mergeCell ref="HLA46:HLB46"/>
    <mergeCell ref="HLL46:HLM46"/>
    <mergeCell ref="HLW46:HLX46"/>
    <mergeCell ref="HMH46:HMI46"/>
    <mergeCell ref="HMS46:HMT46"/>
    <mergeCell ref="HND46:HNE46"/>
    <mergeCell ref="HXS46:HXT46"/>
    <mergeCell ref="HYD46:HYE46"/>
    <mergeCell ref="HYO46:HYP46"/>
    <mergeCell ref="HYZ46:HZA46"/>
    <mergeCell ref="HZK46:HZL46"/>
    <mergeCell ref="HZV46:HZW46"/>
    <mergeCell ref="HVE46:HVF46"/>
    <mergeCell ref="HVP46:HVQ46"/>
    <mergeCell ref="HWA46:HWB46"/>
    <mergeCell ref="HWL46:HWM46"/>
    <mergeCell ref="HWW46:HWX46"/>
    <mergeCell ref="HXH46:HXI46"/>
    <mergeCell ref="HSQ46:HSR46"/>
    <mergeCell ref="HTB46:HTC46"/>
    <mergeCell ref="HTM46:HTN46"/>
    <mergeCell ref="HTX46:HTY46"/>
    <mergeCell ref="HUI46:HUJ46"/>
    <mergeCell ref="HUT46:HUU46"/>
    <mergeCell ref="IFI46:IFJ46"/>
    <mergeCell ref="IFT46:IFU46"/>
    <mergeCell ref="IGE46:IGF46"/>
    <mergeCell ref="IGP46:IGQ46"/>
    <mergeCell ref="IHA46:IHB46"/>
    <mergeCell ref="IHL46:IHM46"/>
    <mergeCell ref="ICU46:ICV46"/>
    <mergeCell ref="IDF46:IDG46"/>
    <mergeCell ref="IDQ46:IDR46"/>
    <mergeCell ref="IEB46:IEC46"/>
    <mergeCell ref="IEM46:IEN46"/>
    <mergeCell ref="IEX46:IEY46"/>
    <mergeCell ref="IAG46:IAH46"/>
    <mergeCell ref="IAR46:IAS46"/>
    <mergeCell ref="IBC46:IBD46"/>
    <mergeCell ref="IBN46:IBO46"/>
    <mergeCell ref="IBY46:IBZ46"/>
    <mergeCell ref="ICJ46:ICK46"/>
    <mergeCell ref="IMY46:IMZ46"/>
    <mergeCell ref="INJ46:INK46"/>
    <mergeCell ref="INU46:INV46"/>
    <mergeCell ref="IOF46:IOG46"/>
    <mergeCell ref="IOQ46:IOR46"/>
    <mergeCell ref="IPB46:IPC46"/>
    <mergeCell ref="IKK46:IKL46"/>
    <mergeCell ref="IKV46:IKW46"/>
    <mergeCell ref="ILG46:ILH46"/>
    <mergeCell ref="ILR46:ILS46"/>
    <mergeCell ref="IMC46:IMD46"/>
    <mergeCell ref="IMN46:IMO46"/>
    <mergeCell ref="IHW46:IHX46"/>
    <mergeCell ref="IIH46:III46"/>
    <mergeCell ref="IIS46:IIT46"/>
    <mergeCell ref="IJD46:IJE46"/>
    <mergeCell ref="IJO46:IJP46"/>
    <mergeCell ref="IJZ46:IKA46"/>
    <mergeCell ref="IUO46:IUP46"/>
    <mergeCell ref="IUZ46:IVA46"/>
    <mergeCell ref="IVK46:IVL46"/>
    <mergeCell ref="IVV46:IVW46"/>
    <mergeCell ref="IWG46:IWH46"/>
    <mergeCell ref="IWR46:IWS46"/>
    <mergeCell ref="ISA46:ISB46"/>
    <mergeCell ref="ISL46:ISM46"/>
    <mergeCell ref="ISW46:ISX46"/>
    <mergeCell ref="ITH46:ITI46"/>
    <mergeCell ref="ITS46:ITT46"/>
    <mergeCell ref="IUD46:IUE46"/>
    <mergeCell ref="IPM46:IPN46"/>
    <mergeCell ref="IPX46:IPY46"/>
    <mergeCell ref="IQI46:IQJ46"/>
    <mergeCell ref="IQT46:IQU46"/>
    <mergeCell ref="IRE46:IRF46"/>
    <mergeCell ref="IRP46:IRQ46"/>
    <mergeCell ref="JCE46:JCF46"/>
    <mergeCell ref="JCP46:JCQ46"/>
    <mergeCell ref="JDA46:JDB46"/>
    <mergeCell ref="JDL46:JDM46"/>
    <mergeCell ref="JDW46:JDX46"/>
    <mergeCell ref="JEH46:JEI46"/>
    <mergeCell ref="IZQ46:IZR46"/>
    <mergeCell ref="JAB46:JAC46"/>
    <mergeCell ref="JAM46:JAN46"/>
    <mergeCell ref="JAX46:JAY46"/>
    <mergeCell ref="JBI46:JBJ46"/>
    <mergeCell ref="JBT46:JBU46"/>
    <mergeCell ref="IXC46:IXD46"/>
    <mergeCell ref="IXN46:IXO46"/>
    <mergeCell ref="IXY46:IXZ46"/>
    <mergeCell ref="IYJ46:IYK46"/>
    <mergeCell ref="IYU46:IYV46"/>
    <mergeCell ref="IZF46:IZG46"/>
    <mergeCell ref="JJU46:JJV46"/>
    <mergeCell ref="JKF46:JKG46"/>
    <mergeCell ref="JKQ46:JKR46"/>
    <mergeCell ref="JLB46:JLC46"/>
    <mergeCell ref="JLM46:JLN46"/>
    <mergeCell ref="JLX46:JLY46"/>
    <mergeCell ref="JHG46:JHH46"/>
    <mergeCell ref="JHR46:JHS46"/>
    <mergeCell ref="JIC46:JID46"/>
    <mergeCell ref="JIN46:JIO46"/>
    <mergeCell ref="JIY46:JIZ46"/>
    <mergeCell ref="JJJ46:JJK46"/>
    <mergeCell ref="JES46:JET46"/>
    <mergeCell ref="JFD46:JFE46"/>
    <mergeCell ref="JFO46:JFP46"/>
    <mergeCell ref="JFZ46:JGA46"/>
    <mergeCell ref="JGK46:JGL46"/>
    <mergeCell ref="JGV46:JGW46"/>
    <mergeCell ref="JRK46:JRL46"/>
    <mergeCell ref="JRV46:JRW46"/>
    <mergeCell ref="JSG46:JSH46"/>
    <mergeCell ref="JSR46:JSS46"/>
    <mergeCell ref="JTC46:JTD46"/>
    <mergeCell ref="JTN46:JTO46"/>
    <mergeCell ref="JOW46:JOX46"/>
    <mergeCell ref="JPH46:JPI46"/>
    <mergeCell ref="JPS46:JPT46"/>
    <mergeCell ref="JQD46:JQE46"/>
    <mergeCell ref="JQO46:JQP46"/>
    <mergeCell ref="JQZ46:JRA46"/>
    <mergeCell ref="JMI46:JMJ46"/>
    <mergeCell ref="JMT46:JMU46"/>
    <mergeCell ref="JNE46:JNF46"/>
    <mergeCell ref="JNP46:JNQ46"/>
    <mergeCell ref="JOA46:JOB46"/>
    <mergeCell ref="JOL46:JOM46"/>
    <mergeCell ref="JZA46:JZB46"/>
    <mergeCell ref="JZL46:JZM46"/>
    <mergeCell ref="JZW46:JZX46"/>
    <mergeCell ref="KAH46:KAI46"/>
    <mergeCell ref="KAS46:KAT46"/>
    <mergeCell ref="KBD46:KBE46"/>
    <mergeCell ref="JWM46:JWN46"/>
    <mergeCell ref="JWX46:JWY46"/>
    <mergeCell ref="JXI46:JXJ46"/>
    <mergeCell ref="JXT46:JXU46"/>
    <mergeCell ref="JYE46:JYF46"/>
    <mergeCell ref="JYP46:JYQ46"/>
    <mergeCell ref="JTY46:JTZ46"/>
    <mergeCell ref="JUJ46:JUK46"/>
    <mergeCell ref="JUU46:JUV46"/>
    <mergeCell ref="JVF46:JVG46"/>
    <mergeCell ref="JVQ46:JVR46"/>
    <mergeCell ref="JWB46:JWC46"/>
    <mergeCell ref="KGQ46:KGR46"/>
    <mergeCell ref="KHB46:KHC46"/>
    <mergeCell ref="KHM46:KHN46"/>
    <mergeCell ref="KHX46:KHY46"/>
    <mergeCell ref="KII46:KIJ46"/>
    <mergeCell ref="KIT46:KIU46"/>
    <mergeCell ref="KEC46:KED46"/>
    <mergeCell ref="KEN46:KEO46"/>
    <mergeCell ref="KEY46:KEZ46"/>
    <mergeCell ref="KFJ46:KFK46"/>
    <mergeCell ref="KFU46:KFV46"/>
    <mergeCell ref="KGF46:KGG46"/>
    <mergeCell ref="KBO46:KBP46"/>
    <mergeCell ref="KBZ46:KCA46"/>
    <mergeCell ref="KCK46:KCL46"/>
    <mergeCell ref="KCV46:KCW46"/>
    <mergeCell ref="KDG46:KDH46"/>
    <mergeCell ref="KDR46:KDS46"/>
    <mergeCell ref="KOG46:KOH46"/>
    <mergeCell ref="KOR46:KOS46"/>
    <mergeCell ref="KPC46:KPD46"/>
    <mergeCell ref="KPN46:KPO46"/>
    <mergeCell ref="KPY46:KPZ46"/>
    <mergeCell ref="KQJ46:KQK46"/>
    <mergeCell ref="KLS46:KLT46"/>
    <mergeCell ref="KMD46:KME46"/>
    <mergeCell ref="KMO46:KMP46"/>
    <mergeCell ref="KMZ46:KNA46"/>
    <mergeCell ref="KNK46:KNL46"/>
    <mergeCell ref="KNV46:KNW46"/>
    <mergeCell ref="KJE46:KJF46"/>
    <mergeCell ref="KJP46:KJQ46"/>
    <mergeCell ref="KKA46:KKB46"/>
    <mergeCell ref="KKL46:KKM46"/>
    <mergeCell ref="KKW46:KKX46"/>
    <mergeCell ref="KLH46:KLI46"/>
    <mergeCell ref="KVW46:KVX46"/>
    <mergeCell ref="KWH46:KWI46"/>
    <mergeCell ref="KWS46:KWT46"/>
    <mergeCell ref="KXD46:KXE46"/>
    <mergeCell ref="KXO46:KXP46"/>
    <mergeCell ref="KXZ46:KYA46"/>
    <mergeCell ref="KTI46:KTJ46"/>
    <mergeCell ref="KTT46:KTU46"/>
    <mergeCell ref="KUE46:KUF46"/>
    <mergeCell ref="KUP46:KUQ46"/>
    <mergeCell ref="KVA46:KVB46"/>
    <mergeCell ref="KVL46:KVM46"/>
    <mergeCell ref="KQU46:KQV46"/>
    <mergeCell ref="KRF46:KRG46"/>
    <mergeCell ref="KRQ46:KRR46"/>
    <mergeCell ref="KSB46:KSC46"/>
    <mergeCell ref="KSM46:KSN46"/>
    <mergeCell ref="KSX46:KSY46"/>
    <mergeCell ref="LDM46:LDN46"/>
    <mergeCell ref="LDX46:LDY46"/>
    <mergeCell ref="LEI46:LEJ46"/>
    <mergeCell ref="LET46:LEU46"/>
    <mergeCell ref="LFE46:LFF46"/>
    <mergeCell ref="LFP46:LFQ46"/>
    <mergeCell ref="LAY46:LAZ46"/>
    <mergeCell ref="LBJ46:LBK46"/>
    <mergeCell ref="LBU46:LBV46"/>
    <mergeCell ref="LCF46:LCG46"/>
    <mergeCell ref="LCQ46:LCR46"/>
    <mergeCell ref="LDB46:LDC46"/>
    <mergeCell ref="KYK46:KYL46"/>
    <mergeCell ref="KYV46:KYW46"/>
    <mergeCell ref="KZG46:KZH46"/>
    <mergeCell ref="KZR46:KZS46"/>
    <mergeCell ref="LAC46:LAD46"/>
    <mergeCell ref="LAN46:LAO46"/>
    <mergeCell ref="LLC46:LLD46"/>
    <mergeCell ref="LLN46:LLO46"/>
    <mergeCell ref="LLY46:LLZ46"/>
    <mergeCell ref="LMJ46:LMK46"/>
    <mergeCell ref="LMU46:LMV46"/>
    <mergeCell ref="LNF46:LNG46"/>
    <mergeCell ref="LIO46:LIP46"/>
    <mergeCell ref="LIZ46:LJA46"/>
    <mergeCell ref="LJK46:LJL46"/>
    <mergeCell ref="LJV46:LJW46"/>
    <mergeCell ref="LKG46:LKH46"/>
    <mergeCell ref="LKR46:LKS46"/>
    <mergeCell ref="LGA46:LGB46"/>
    <mergeCell ref="LGL46:LGM46"/>
    <mergeCell ref="LGW46:LGX46"/>
    <mergeCell ref="LHH46:LHI46"/>
    <mergeCell ref="LHS46:LHT46"/>
    <mergeCell ref="LID46:LIE46"/>
    <mergeCell ref="LSS46:LST46"/>
    <mergeCell ref="LTD46:LTE46"/>
    <mergeCell ref="LTO46:LTP46"/>
    <mergeCell ref="LTZ46:LUA46"/>
    <mergeCell ref="LUK46:LUL46"/>
    <mergeCell ref="LUV46:LUW46"/>
    <mergeCell ref="LQE46:LQF46"/>
    <mergeCell ref="LQP46:LQQ46"/>
    <mergeCell ref="LRA46:LRB46"/>
    <mergeCell ref="LRL46:LRM46"/>
    <mergeCell ref="LRW46:LRX46"/>
    <mergeCell ref="LSH46:LSI46"/>
    <mergeCell ref="LNQ46:LNR46"/>
    <mergeCell ref="LOB46:LOC46"/>
    <mergeCell ref="LOM46:LON46"/>
    <mergeCell ref="LOX46:LOY46"/>
    <mergeCell ref="LPI46:LPJ46"/>
    <mergeCell ref="LPT46:LPU46"/>
    <mergeCell ref="MAI46:MAJ46"/>
    <mergeCell ref="MAT46:MAU46"/>
    <mergeCell ref="MBE46:MBF46"/>
    <mergeCell ref="MBP46:MBQ46"/>
    <mergeCell ref="MCA46:MCB46"/>
    <mergeCell ref="MCL46:MCM46"/>
    <mergeCell ref="LXU46:LXV46"/>
    <mergeCell ref="LYF46:LYG46"/>
    <mergeCell ref="LYQ46:LYR46"/>
    <mergeCell ref="LZB46:LZC46"/>
    <mergeCell ref="LZM46:LZN46"/>
    <mergeCell ref="LZX46:LZY46"/>
    <mergeCell ref="LVG46:LVH46"/>
    <mergeCell ref="LVR46:LVS46"/>
    <mergeCell ref="LWC46:LWD46"/>
    <mergeCell ref="LWN46:LWO46"/>
    <mergeCell ref="LWY46:LWZ46"/>
    <mergeCell ref="LXJ46:LXK46"/>
    <mergeCell ref="MHY46:MHZ46"/>
    <mergeCell ref="MIJ46:MIK46"/>
    <mergeCell ref="MIU46:MIV46"/>
    <mergeCell ref="MJF46:MJG46"/>
    <mergeCell ref="MJQ46:MJR46"/>
    <mergeCell ref="MKB46:MKC46"/>
    <mergeCell ref="MFK46:MFL46"/>
    <mergeCell ref="MFV46:MFW46"/>
    <mergeCell ref="MGG46:MGH46"/>
    <mergeCell ref="MGR46:MGS46"/>
    <mergeCell ref="MHC46:MHD46"/>
    <mergeCell ref="MHN46:MHO46"/>
    <mergeCell ref="MCW46:MCX46"/>
    <mergeCell ref="MDH46:MDI46"/>
    <mergeCell ref="MDS46:MDT46"/>
    <mergeCell ref="MED46:MEE46"/>
    <mergeCell ref="MEO46:MEP46"/>
    <mergeCell ref="MEZ46:MFA46"/>
    <mergeCell ref="MPO46:MPP46"/>
    <mergeCell ref="MPZ46:MQA46"/>
    <mergeCell ref="MQK46:MQL46"/>
    <mergeCell ref="MQV46:MQW46"/>
    <mergeCell ref="MRG46:MRH46"/>
    <mergeCell ref="MRR46:MRS46"/>
    <mergeCell ref="MNA46:MNB46"/>
    <mergeCell ref="MNL46:MNM46"/>
    <mergeCell ref="MNW46:MNX46"/>
    <mergeCell ref="MOH46:MOI46"/>
    <mergeCell ref="MOS46:MOT46"/>
    <mergeCell ref="MPD46:MPE46"/>
    <mergeCell ref="MKM46:MKN46"/>
    <mergeCell ref="MKX46:MKY46"/>
    <mergeCell ref="MLI46:MLJ46"/>
    <mergeCell ref="MLT46:MLU46"/>
    <mergeCell ref="MME46:MMF46"/>
    <mergeCell ref="MMP46:MMQ46"/>
    <mergeCell ref="MXE46:MXF46"/>
    <mergeCell ref="MXP46:MXQ46"/>
    <mergeCell ref="MYA46:MYB46"/>
    <mergeCell ref="MYL46:MYM46"/>
    <mergeCell ref="MYW46:MYX46"/>
    <mergeCell ref="MZH46:MZI46"/>
    <mergeCell ref="MUQ46:MUR46"/>
    <mergeCell ref="MVB46:MVC46"/>
    <mergeCell ref="MVM46:MVN46"/>
    <mergeCell ref="MVX46:MVY46"/>
    <mergeCell ref="MWI46:MWJ46"/>
    <mergeCell ref="MWT46:MWU46"/>
    <mergeCell ref="MSC46:MSD46"/>
    <mergeCell ref="MSN46:MSO46"/>
    <mergeCell ref="MSY46:MSZ46"/>
    <mergeCell ref="MTJ46:MTK46"/>
    <mergeCell ref="MTU46:MTV46"/>
    <mergeCell ref="MUF46:MUG46"/>
    <mergeCell ref="NEU46:NEV46"/>
    <mergeCell ref="NFF46:NFG46"/>
    <mergeCell ref="NFQ46:NFR46"/>
    <mergeCell ref="NGB46:NGC46"/>
    <mergeCell ref="NGM46:NGN46"/>
    <mergeCell ref="NGX46:NGY46"/>
    <mergeCell ref="NCG46:NCH46"/>
    <mergeCell ref="NCR46:NCS46"/>
    <mergeCell ref="NDC46:NDD46"/>
    <mergeCell ref="NDN46:NDO46"/>
    <mergeCell ref="NDY46:NDZ46"/>
    <mergeCell ref="NEJ46:NEK46"/>
    <mergeCell ref="MZS46:MZT46"/>
    <mergeCell ref="NAD46:NAE46"/>
    <mergeCell ref="NAO46:NAP46"/>
    <mergeCell ref="NAZ46:NBA46"/>
    <mergeCell ref="NBK46:NBL46"/>
    <mergeCell ref="NBV46:NBW46"/>
    <mergeCell ref="NMK46:NML46"/>
    <mergeCell ref="NMV46:NMW46"/>
    <mergeCell ref="NNG46:NNH46"/>
    <mergeCell ref="NNR46:NNS46"/>
    <mergeCell ref="NOC46:NOD46"/>
    <mergeCell ref="NON46:NOO46"/>
    <mergeCell ref="NJW46:NJX46"/>
    <mergeCell ref="NKH46:NKI46"/>
    <mergeCell ref="NKS46:NKT46"/>
    <mergeCell ref="NLD46:NLE46"/>
    <mergeCell ref="NLO46:NLP46"/>
    <mergeCell ref="NLZ46:NMA46"/>
    <mergeCell ref="NHI46:NHJ46"/>
    <mergeCell ref="NHT46:NHU46"/>
    <mergeCell ref="NIE46:NIF46"/>
    <mergeCell ref="NIP46:NIQ46"/>
    <mergeCell ref="NJA46:NJB46"/>
    <mergeCell ref="NJL46:NJM46"/>
    <mergeCell ref="NUA46:NUB46"/>
    <mergeCell ref="NUL46:NUM46"/>
    <mergeCell ref="NUW46:NUX46"/>
    <mergeCell ref="NVH46:NVI46"/>
    <mergeCell ref="NVS46:NVT46"/>
    <mergeCell ref="NWD46:NWE46"/>
    <mergeCell ref="NRM46:NRN46"/>
    <mergeCell ref="NRX46:NRY46"/>
    <mergeCell ref="NSI46:NSJ46"/>
    <mergeCell ref="NST46:NSU46"/>
    <mergeCell ref="NTE46:NTF46"/>
    <mergeCell ref="NTP46:NTQ46"/>
    <mergeCell ref="NOY46:NOZ46"/>
    <mergeCell ref="NPJ46:NPK46"/>
    <mergeCell ref="NPU46:NPV46"/>
    <mergeCell ref="NQF46:NQG46"/>
    <mergeCell ref="NQQ46:NQR46"/>
    <mergeCell ref="NRB46:NRC46"/>
    <mergeCell ref="OBQ46:OBR46"/>
    <mergeCell ref="OCB46:OCC46"/>
    <mergeCell ref="OCM46:OCN46"/>
    <mergeCell ref="OCX46:OCY46"/>
    <mergeCell ref="ODI46:ODJ46"/>
    <mergeCell ref="ODT46:ODU46"/>
    <mergeCell ref="NZC46:NZD46"/>
    <mergeCell ref="NZN46:NZO46"/>
    <mergeCell ref="NZY46:NZZ46"/>
    <mergeCell ref="OAJ46:OAK46"/>
    <mergeCell ref="OAU46:OAV46"/>
    <mergeCell ref="OBF46:OBG46"/>
    <mergeCell ref="NWO46:NWP46"/>
    <mergeCell ref="NWZ46:NXA46"/>
    <mergeCell ref="NXK46:NXL46"/>
    <mergeCell ref="NXV46:NXW46"/>
    <mergeCell ref="NYG46:NYH46"/>
    <mergeCell ref="NYR46:NYS46"/>
    <mergeCell ref="OJG46:OJH46"/>
    <mergeCell ref="OJR46:OJS46"/>
    <mergeCell ref="OKC46:OKD46"/>
    <mergeCell ref="OKN46:OKO46"/>
    <mergeCell ref="OKY46:OKZ46"/>
    <mergeCell ref="OLJ46:OLK46"/>
    <mergeCell ref="OGS46:OGT46"/>
    <mergeCell ref="OHD46:OHE46"/>
    <mergeCell ref="OHO46:OHP46"/>
    <mergeCell ref="OHZ46:OIA46"/>
    <mergeCell ref="OIK46:OIL46"/>
    <mergeCell ref="OIV46:OIW46"/>
    <mergeCell ref="OEE46:OEF46"/>
    <mergeCell ref="OEP46:OEQ46"/>
    <mergeCell ref="OFA46:OFB46"/>
    <mergeCell ref="OFL46:OFM46"/>
    <mergeCell ref="OFW46:OFX46"/>
    <mergeCell ref="OGH46:OGI46"/>
    <mergeCell ref="OQW46:OQX46"/>
    <mergeCell ref="ORH46:ORI46"/>
    <mergeCell ref="ORS46:ORT46"/>
    <mergeCell ref="OSD46:OSE46"/>
    <mergeCell ref="OSO46:OSP46"/>
    <mergeCell ref="OSZ46:OTA46"/>
    <mergeCell ref="OOI46:OOJ46"/>
    <mergeCell ref="OOT46:OOU46"/>
    <mergeCell ref="OPE46:OPF46"/>
    <mergeCell ref="OPP46:OPQ46"/>
    <mergeCell ref="OQA46:OQB46"/>
    <mergeCell ref="OQL46:OQM46"/>
    <mergeCell ref="OLU46:OLV46"/>
    <mergeCell ref="OMF46:OMG46"/>
    <mergeCell ref="OMQ46:OMR46"/>
    <mergeCell ref="ONB46:ONC46"/>
    <mergeCell ref="ONM46:ONN46"/>
    <mergeCell ref="ONX46:ONY46"/>
    <mergeCell ref="OYM46:OYN46"/>
    <mergeCell ref="OYX46:OYY46"/>
    <mergeCell ref="OZI46:OZJ46"/>
    <mergeCell ref="OZT46:OZU46"/>
    <mergeCell ref="PAE46:PAF46"/>
    <mergeCell ref="PAP46:PAQ46"/>
    <mergeCell ref="OVY46:OVZ46"/>
    <mergeCell ref="OWJ46:OWK46"/>
    <mergeCell ref="OWU46:OWV46"/>
    <mergeCell ref="OXF46:OXG46"/>
    <mergeCell ref="OXQ46:OXR46"/>
    <mergeCell ref="OYB46:OYC46"/>
    <mergeCell ref="OTK46:OTL46"/>
    <mergeCell ref="OTV46:OTW46"/>
    <mergeCell ref="OUG46:OUH46"/>
    <mergeCell ref="OUR46:OUS46"/>
    <mergeCell ref="OVC46:OVD46"/>
    <mergeCell ref="OVN46:OVO46"/>
    <mergeCell ref="PGC46:PGD46"/>
    <mergeCell ref="PGN46:PGO46"/>
    <mergeCell ref="PGY46:PGZ46"/>
    <mergeCell ref="PHJ46:PHK46"/>
    <mergeCell ref="PHU46:PHV46"/>
    <mergeCell ref="PIF46:PIG46"/>
    <mergeCell ref="PDO46:PDP46"/>
    <mergeCell ref="PDZ46:PEA46"/>
    <mergeCell ref="PEK46:PEL46"/>
    <mergeCell ref="PEV46:PEW46"/>
    <mergeCell ref="PFG46:PFH46"/>
    <mergeCell ref="PFR46:PFS46"/>
    <mergeCell ref="PBA46:PBB46"/>
    <mergeCell ref="PBL46:PBM46"/>
    <mergeCell ref="PBW46:PBX46"/>
    <mergeCell ref="PCH46:PCI46"/>
    <mergeCell ref="PCS46:PCT46"/>
    <mergeCell ref="PDD46:PDE46"/>
    <mergeCell ref="PNS46:PNT46"/>
    <mergeCell ref="POD46:POE46"/>
    <mergeCell ref="POO46:POP46"/>
    <mergeCell ref="POZ46:PPA46"/>
    <mergeCell ref="PPK46:PPL46"/>
    <mergeCell ref="PPV46:PPW46"/>
    <mergeCell ref="PLE46:PLF46"/>
    <mergeCell ref="PLP46:PLQ46"/>
    <mergeCell ref="PMA46:PMB46"/>
    <mergeCell ref="PML46:PMM46"/>
    <mergeCell ref="PMW46:PMX46"/>
    <mergeCell ref="PNH46:PNI46"/>
    <mergeCell ref="PIQ46:PIR46"/>
    <mergeCell ref="PJB46:PJC46"/>
    <mergeCell ref="PJM46:PJN46"/>
    <mergeCell ref="PJX46:PJY46"/>
    <mergeCell ref="PKI46:PKJ46"/>
    <mergeCell ref="PKT46:PKU46"/>
    <mergeCell ref="PVI46:PVJ46"/>
    <mergeCell ref="PVT46:PVU46"/>
    <mergeCell ref="PWE46:PWF46"/>
    <mergeCell ref="PWP46:PWQ46"/>
    <mergeCell ref="PXA46:PXB46"/>
    <mergeCell ref="PXL46:PXM46"/>
    <mergeCell ref="PSU46:PSV46"/>
    <mergeCell ref="PTF46:PTG46"/>
    <mergeCell ref="PTQ46:PTR46"/>
    <mergeCell ref="PUB46:PUC46"/>
    <mergeCell ref="PUM46:PUN46"/>
    <mergeCell ref="PUX46:PUY46"/>
    <mergeCell ref="PQG46:PQH46"/>
    <mergeCell ref="PQR46:PQS46"/>
    <mergeCell ref="PRC46:PRD46"/>
    <mergeCell ref="PRN46:PRO46"/>
    <mergeCell ref="PRY46:PRZ46"/>
    <mergeCell ref="PSJ46:PSK46"/>
    <mergeCell ref="QCY46:QCZ46"/>
    <mergeCell ref="QDJ46:QDK46"/>
    <mergeCell ref="QDU46:QDV46"/>
    <mergeCell ref="QEF46:QEG46"/>
    <mergeCell ref="QEQ46:QER46"/>
    <mergeCell ref="QFB46:QFC46"/>
    <mergeCell ref="QAK46:QAL46"/>
    <mergeCell ref="QAV46:QAW46"/>
    <mergeCell ref="QBG46:QBH46"/>
    <mergeCell ref="QBR46:QBS46"/>
    <mergeCell ref="QCC46:QCD46"/>
    <mergeCell ref="QCN46:QCO46"/>
    <mergeCell ref="PXW46:PXX46"/>
    <mergeCell ref="PYH46:PYI46"/>
    <mergeCell ref="PYS46:PYT46"/>
    <mergeCell ref="PZD46:PZE46"/>
    <mergeCell ref="PZO46:PZP46"/>
    <mergeCell ref="PZZ46:QAA46"/>
    <mergeCell ref="QKO46:QKP46"/>
    <mergeCell ref="QKZ46:QLA46"/>
    <mergeCell ref="QLK46:QLL46"/>
    <mergeCell ref="QLV46:QLW46"/>
    <mergeCell ref="QMG46:QMH46"/>
    <mergeCell ref="QMR46:QMS46"/>
    <mergeCell ref="QIA46:QIB46"/>
    <mergeCell ref="QIL46:QIM46"/>
    <mergeCell ref="QIW46:QIX46"/>
    <mergeCell ref="QJH46:QJI46"/>
    <mergeCell ref="QJS46:QJT46"/>
    <mergeCell ref="QKD46:QKE46"/>
    <mergeCell ref="QFM46:QFN46"/>
    <mergeCell ref="QFX46:QFY46"/>
    <mergeCell ref="QGI46:QGJ46"/>
    <mergeCell ref="QGT46:QGU46"/>
    <mergeCell ref="QHE46:QHF46"/>
    <mergeCell ref="QHP46:QHQ46"/>
    <mergeCell ref="QSE46:QSF46"/>
    <mergeCell ref="QSP46:QSQ46"/>
    <mergeCell ref="QTA46:QTB46"/>
    <mergeCell ref="QTL46:QTM46"/>
    <mergeCell ref="QTW46:QTX46"/>
    <mergeCell ref="QUH46:QUI46"/>
    <mergeCell ref="QPQ46:QPR46"/>
    <mergeCell ref="QQB46:QQC46"/>
    <mergeCell ref="QQM46:QQN46"/>
    <mergeCell ref="QQX46:QQY46"/>
    <mergeCell ref="QRI46:QRJ46"/>
    <mergeCell ref="QRT46:QRU46"/>
    <mergeCell ref="QNC46:QND46"/>
    <mergeCell ref="QNN46:QNO46"/>
    <mergeCell ref="QNY46:QNZ46"/>
    <mergeCell ref="QOJ46:QOK46"/>
    <mergeCell ref="QOU46:QOV46"/>
    <mergeCell ref="QPF46:QPG46"/>
    <mergeCell ref="QZU46:QZV46"/>
    <mergeCell ref="RAF46:RAG46"/>
    <mergeCell ref="RAQ46:RAR46"/>
    <mergeCell ref="RBB46:RBC46"/>
    <mergeCell ref="RBM46:RBN46"/>
    <mergeCell ref="RBX46:RBY46"/>
    <mergeCell ref="QXG46:QXH46"/>
    <mergeCell ref="QXR46:QXS46"/>
    <mergeCell ref="QYC46:QYD46"/>
    <mergeCell ref="QYN46:QYO46"/>
    <mergeCell ref="QYY46:QYZ46"/>
    <mergeCell ref="QZJ46:QZK46"/>
    <mergeCell ref="QUS46:QUT46"/>
    <mergeCell ref="QVD46:QVE46"/>
    <mergeCell ref="QVO46:QVP46"/>
    <mergeCell ref="QVZ46:QWA46"/>
    <mergeCell ref="QWK46:QWL46"/>
    <mergeCell ref="QWV46:QWW46"/>
    <mergeCell ref="RHK46:RHL46"/>
    <mergeCell ref="RHV46:RHW46"/>
    <mergeCell ref="RIG46:RIH46"/>
    <mergeCell ref="RIR46:RIS46"/>
    <mergeCell ref="RJC46:RJD46"/>
    <mergeCell ref="RJN46:RJO46"/>
    <mergeCell ref="REW46:REX46"/>
    <mergeCell ref="RFH46:RFI46"/>
    <mergeCell ref="RFS46:RFT46"/>
    <mergeCell ref="RGD46:RGE46"/>
    <mergeCell ref="RGO46:RGP46"/>
    <mergeCell ref="RGZ46:RHA46"/>
    <mergeCell ref="RCI46:RCJ46"/>
    <mergeCell ref="RCT46:RCU46"/>
    <mergeCell ref="RDE46:RDF46"/>
    <mergeCell ref="RDP46:RDQ46"/>
    <mergeCell ref="REA46:REB46"/>
    <mergeCell ref="REL46:REM46"/>
    <mergeCell ref="RPA46:RPB46"/>
    <mergeCell ref="RPL46:RPM46"/>
    <mergeCell ref="RPW46:RPX46"/>
    <mergeCell ref="RQH46:RQI46"/>
    <mergeCell ref="RQS46:RQT46"/>
    <mergeCell ref="RRD46:RRE46"/>
    <mergeCell ref="RMM46:RMN46"/>
    <mergeCell ref="RMX46:RMY46"/>
    <mergeCell ref="RNI46:RNJ46"/>
    <mergeCell ref="RNT46:RNU46"/>
    <mergeCell ref="ROE46:ROF46"/>
    <mergeCell ref="ROP46:ROQ46"/>
    <mergeCell ref="RJY46:RJZ46"/>
    <mergeCell ref="RKJ46:RKK46"/>
    <mergeCell ref="RKU46:RKV46"/>
    <mergeCell ref="RLF46:RLG46"/>
    <mergeCell ref="RLQ46:RLR46"/>
    <mergeCell ref="RMB46:RMC46"/>
    <mergeCell ref="RWQ46:RWR46"/>
    <mergeCell ref="RXB46:RXC46"/>
    <mergeCell ref="RXM46:RXN46"/>
    <mergeCell ref="RXX46:RXY46"/>
    <mergeCell ref="RYI46:RYJ46"/>
    <mergeCell ref="RYT46:RYU46"/>
    <mergeCell ref="RUC46:RUD46"/>
    <mergeCell ref="RUN46:RUO46"/>
    <mergeCell ref="RUY46:RUZ46"/>
    <mergeCell ref="RVJ46:RVK46"/>
    <mergeCell ref="RVU46:RVV46"/>
    <mergeCell ref="RWF46:RWG46"/>
    <mergeCell ref="RRO46:RRP46"/>
    <mergeCell ref="RRZ46:RSA46"/>
    <mergeCell ref="RSK46:RSL46"/>
    <mergeCell ref="RSV46:RSW46"/>
    <mergeCell ref="RTG46:RTH46"/>
    <mergeCell ref="RTR46:RTS46"/>
    <mergeCell ref="SEG46:SEH46"/>
    <mergeCell ref="SER46:SES46"/>
    <mergeCell ref="SFC46:SFD46"/>
    <mergeCell ref="SFN46:SFO46"/>
    <mergeCell ref="SFY46:SFZ46"/>
    <mergeCell ref="SGJ46:SGK46"/>
    <mergeCell ref="SBS46:SBT46"/>
    <mergeCell ref="SCD46:SCE46"/>
    <mergeCell ref="SCO46:SCP46"/>
    <mergeCell ref="SCZ46:SDA46"/>
    <mergeCell ref="SDK46:SDL46"/>
    <mergeCell ref="SDV46:SDW46"/>
    <mergeCell ref="RZE46:RZF46"/>
    <mergeCell ref="RZP46:RZQ46"/>
    <mergeCell ref="SAA46:SAB46"/>
    <mergeCell ref="SAL46:SAM46"/>
    <mergeCell ref="SAW46:SAX46"/>
    <mergeCell ref="SBH46:SBI46"/>
    <mergeCell ref="SLW46:SLX46"/>
    <mergeCell ref="SMH46:SMI46"/>
    <mergeCell ref="SMS46:SMT46"/>
    <mergeCell ref="SND46:SNE46"/>
    <mergeCell ref="SNO46:SNP46"/>
    <mergeCell ref="SNZ46:SOA46"/>
    <mergeCell ref="SJI46:SJJ46"/>
    <mergeCell ref="SJT46:SJU46"/>
    <mergeCell ref="SKE46:SKF46"/>
    <mergeCell ref="SKP46:SKQ46"/>
    <mergeCell ref="SLA46:SLB46"/>
    <mergeCell ref="SLL46:SLM46"/>
    <mergeCell ref="SGU46:SGV46"/>
    <mergeCell ref="SHF46:SHG46"/>
    <mergeCell ref="SHQ46:SHR46"/>
    <mergeCell ref="SIB46:SIC46"/>
    <mergeCell ref="SIM46:SIN46"/>
    <mergeCell ref="SIX46:SIY46"/>
    <mergeCell ref="STM46:STN46"/>
    <mergeCell ref="STX46:STY46"/>
    <mergeCell ref="SUI46:SUJ46"/>
    <mergeCell ref="SUT46:SUU46"/>
    <mergeCell ref="SVE46:SVF46"/>
    <mergeCell ref="SVP46:SVQ46"/>
    <mergeCell ref="SQY46:SQZ46"/>
    <mergeCell ref="SRJ46:SRK46"/>
    <mergeCell ref="SRU46:SRV46"/>
    <mergeCell ref="SSF46:SSG46"/>
    <mergeCell ref="SSQ46:SSR46"/>
    <mergeCell ref="STB46:STC46"/>
    <mergeCell ref="SOK46:SOL46"/>
    <mergeCell ref="SOV46:SOW46"/>
    <mergeCell ref="SPG46:SPH46"/>
    <mergeCell ref="SPR46:SPS46"/>
    <mergeCell ref="SQC46:SQD46"/>
    <mergeCell ref="SQN46:SQO46"/>
    <mergeCell ref="TBC46:TBD46"/>
    <mergeCell ref="TBN46:TBO46"/>
    <mergeCell ref="TBY46:TBZ46"/>
    <mergeCell ref="TCJ46:TCK46"/>
    <mergeCell ref="TCU46:TCV46"/>
    <mergeCell ref="TDF46:TDG46"/>
    <mergeCell ref="SYO46:SYP46"/>
    <mergeCell ref="SYZ46:SZA46"/>
    <mergeCell ref="SZK46:SZL46"/>
    <mergeCell ref="SZV46:SZW46"/>
    <mergeCell ref="TAG46:TAH46"/>
    <mergeCell ref="TAR46:TAS46"/>
    <mergeCell ref="SWA46:SWB46"/>
    <mergeCell ref="SWL46:SWM46"/>
    <mergeCell ref="SWW46:SWX46"/>
    <mergeCell ref="SXH46:SXI46"/>
    <mergeCell ref="SXS46:SXT46"/>
    <mergeCell ref="SYD46:SYE46"/>
    <mergeCell ref="TIS46:TIT46"/>
    <mergeCell ref="TJD46:TJE46"/>
    <mergeCell ref="TJO46:TJP46"/>
    <mergeCell ref="TJZ46:TKA46"/>
    <mergeCell ref="TKK46:TKL46"/>
    <mergeCell ref="TKV46:TKW46"/>
    <mergeCell ref="TGE46:TGF46"/>
    <mergeCell ref="TGP46:TGQ46"/>
    <mergeCell ref="THA46:THB46"/>
    <mergeCell ref="THL46:THM46"/>
    <mergeCell ref="THW46:THX46"/>
    <mergeCell ref="TIH46:TII46"/>
    <mergeCell ref="TDQ46:TDR46"/>
    <mergeCell ref="TEB46:TEC46"/>
    <mergeCell ref="TEM46:TEN46"/>
    <mergeCell ref="TEX46:TEY46"/>
    <mergeCell ref="TFI46:TFJ46"/>
    <mergeCell ref="TFT46:TFU46"/>
    <mergeCell ref="TQI46:TQJ46"/>
    <mergeCell ref="TQT46:TQU46"/>
    <mergeCell ref="TRE46:TRF46"/>
    <mergeCell ref="TRP46:TRQ46"/>
    <mergeCell ref="TSA46:TSB46"/>
    <mergeCell ref="TSL46:TSM46"/>
    <mergeCell ref="TNU46:TNV46"/>
    <mergeCell ref="TOF46:TOG46"/>
    <mergeCell ref="TOQ46:TOR46"/>
    <mergeCell ref="TPB46:TPC46"/>
    <mergeCell ref="TPM46:TPN46"/>
    <mergeCell ref="TPX46:TPY46"/>
    <mergeCell ref="TLG46:TLH46"/>
    <mergeCell ref="TLR46:TLS46"/>
    <mergeCell ref="TMC46:TMD46"/>
    <mergeCell ref="TMN46:TMO46"/>
    <mergeCell ref="TMY46:TMZ46"/>
    <mergeCell ref="TNJ46:TNK46"/>
    <mergeCell ref="TXY46:TXZ46"/>
    <mergeCell ref="TYJ46:TYK46"/>
    <mergeCell ref="TYU46:TYV46"/>
    <mergeCell ref="TZF46:TZG46"/>
    <mergeCell ref="TZQ46:TZR46"/>
    <mergeCell ref="UAB46:UAC46"/>
    <mergeCell ref="TVK46:TVL46"/>
    <mergeCell ref="TVV46:TVW46"/>
    <mergeCell ref="TWG46:TWH46"/>
    <mergeCell ref="TWR46:TWS46"/>
    <mergeCell ref="TXC46:TXD46"/>
    <mergeCell ref="TXN46:TXO46"/>
    <mergeCell ref="TSW46:TSX46"/>
    <mergeCell ref="TTH46:TTI46"/>
    <mergeCell ref="TTS46:TTT46"/>
    <mergeCell ref="TUD46:TUE46"/>
    <mergeCell ref="TUO46:TUP46"/>
    <mergeCell ref="TUZ46:TVA46"/>
    <mergeCell ref="UFO46:UFP46"/>
    <mergeCell ref="UFZ46:UGA46"/>
    <mergeCell ref="UGK46:UGL46"/>
    <mergeCell ref="UGV46:UGW46"/>
    <mergeCell ref="UHG46:UHH46"/>
    <mergeCell ref="UHR46:UHS46"/>
    <mergeCell ref="UDA46:UDB46"/>
    <mergeCell ref="UDL46:UDM46"/>
    <mergeCell ref="UDW46:UDX46"/>
    <mergeCell ref="UEH46:UEI46"/>
    <mergeCell ref="UES46:UET46"/>
    <mergeCell ref="UFD46:UFE46"/>
    <mergeCell ref="UAM46:UAN46"/>
    <mergeCell ref="UAX46:UAY46"/>
    <mergeCell ref="UBI46:UBJ46"/>
    <mergeCell ref="UBT46:UBU46"/>
    <mergeCell ref="UCE46:UCF46"/>
    <mergeCell ref="UCP46:UCQ46"/>
    <mergeCell ref="UNE46:UNF46"/>
    <mergeCell ref="UNP46:UNQ46"/>
    <mergeCell ref="UOA46:UOB46"/>
    <mergeCell ref="UOL46:UOM46"/>
    <mergeCell ref="UOW46:UOX46"/>
    <mergeCell ref="UPH46:UPI46"/>
    <mergeCell ref="UKQ46:UKR46"/>
    <mergeCell ref="ULB46:ULC46"/>
    <mergeCell ref="ULM46:ULN46"/>
    <mergeCell ref="ULX46:ULY46"/>
    <mergeCell ref="UMI46:UMJ46"/>
    <mergeCell ref="UMT46:UMU46"/>
    <mergeCell ref="UIC46:UID46"/>
    <mergeCell ref="UIN46:UIO46"/>
    <mergeCell ref="UIY46:UIZ46"/>
    <mergeCell ref="UJJ46:UJK46"/>
    <mergeCell ref="UJU46:UJV46"/>
    <mergeCell ref="UKF46:UKG46"/>
    <mergeCell ref="UUU46:UUV46"/>
    <mergeCell ref="UVF46:UVG46"/>
    <mergeCell ref="UVQ46:UVR46"/>
    <mergeCell ref="UWB46:UWC46"/>
    <mergeCell ref="UWM46:UWN46"/>
    <mergeCell ref="UWX46:UWY46"/>
    <mergeCell ref="USG46:USH46"/>
    <mergeCell ref="USR46:USS46"/>
    <mergeCell ref="UTC46:UTD46"/>
    <mergeCell ref="UTN46:UTO46"/>
    <mergeCell ref="UTY46:UTZ46"/>
    <mergeCell ref="UUJ46:UUK46"/>
    <mergeCell ref="UPS46:UPT46"/>
    <mergeCell ref="UQD46:UQE46"/>
    <mergeCell ref="UQO46:UQP46"/>
    <mergeCell ref="UQZ46:URA46"/>
    <mergeCell ref="URK46:URL46"/>
    <mergeCell ref="URV46:URW46"/>
    <mergeCell ref="VCK46:VCL46"/>
    <mergeCell ref="VCV46:VCW46"/>
    <mergeCell ref="VDG46:VDH46"/>
    <mergeCell ref="VDR46:VDS46"/>
    <mergeCell ref="VEC46:VED46"/>
    <mergeCell ref="VEN46:VEO46"/>
    <mergeCell ref="UZW46:UZX46"/>
    <mergeCell ref="VAH46:VAI46"/>
    <mergeCell ref="VAS46:VAT46"/>
    <mergeCell ref="VBD46:VBE46"/>
    <mergeCell ref="VBO46:VBP46"/>
    <mergeCell ref="VBZ46:VCA46"/>
    <mergeCell ref="UXI46:UXJ46"/>
    <mergeCell ref="UXT46:UXU46"/>
    <mergeCell ref="UYE46:UYF46"/>
    <mergeCell ref="UYP46:UYQ46"/>
    <mergeCell ref="UZA46:UZB46"/>
    <mergeCell ref="UZL46:UZM46"/>
    <mergeCell ref="VKA46:VKB46"/>
    <mergeCell ref="VKL46:VKM46"/>
    <mergeCell ref="VKW46:VKX46"/>
    <mergeCell ref="VLH46:VLI46"/>
    <mergeCell ref="VLS46:VLT46"/>
    <mergeCell ref="VMD46:VME46"/>
    <mergeCell ref="VHM46:VHN46"/>
    <mergeCell ref="VHX46:VHY46"/>
    <mergeCell ref="VII46:VIJ46"/>
    <mergeCell ref="VIT46:VIU46"/>
    <mergeCell ref="VJE46:VJF46"/>
    <mergeCell ref="VJP46:VJQ46"/>
    <mergeCell ref="VEY46:VEZ46"/>
    <mergeCell ref="VFJ46:VFK46"/>
    <mergeCell ref="VFU46:VFV46"/>
    <mergeCell ref="VGF46:VGG46"/>
    <mergeCell ref="VGQ46:VGR46"/>
    <mergeCell ref="VHB46:VHC46"/>
    <mergeCell ref="VRQ46:VRR46"/>
    <mergeCell ref="VSB46:VSC46"/>
    <mergeCell ref="VSM46:VSN46"/>
    <mergeCell ref="VSX46:VSY46"/>
    <mergeCell ref="VTI46:VTJ46"/>
    <mergeCell ref="VTT46:VTU46"/>
    <mergeCell ref="VPC46:VPD46"/>
    <mergeCell ref="VPN46:VPO46"/>
    <mergeCell ref="VPY46:VPZ46"/>
    <mergeCell ref="VQJ46:VQK46"/>
    <mergeCell ref="VQU46:VQV46"/>
    <mergeCell ref="VRF46:VRG46"/>
    <mergeCell ref="VMO46:VMP46"/>
    <mergeCell ref="VMZ46:VNA46"/>
    <mergeCell ref="VNK46:VNL46"/>
    <mergeCell ref="VNV46:VNW46"/>
    <mergeCell ref="VOG46:VOH46"/>
    <mergeCell ref="VOR46:VOS46"/>
    <mergeCell ref="VZG46:VZH46"/>
    <mergeCell ref="VZR46:VZS46"/>
    <mergeCell ref="WAC46:WAD46"/>
    <mergeCell ref="WAN46:WAO46"/>
    <mergeCell ref="WAY46:WAZ46"/>
    <mergeCell ref="WBJ46:WBK46"/>
    <mergeCell ref="VWS46:VWT46"/>
    <mergeCell ref="VXD46:VXE46"/>
    <mergeCell ref="VXO46:VXP46"/>
    <mergeCell ref="VXZ46:VYA46"/>
    <mergeCell ref="VYK46:VYL46"/>
    <mergeCell ref="VYV46:VYW46"/>
    <mergeCell ref="VUE46:VUF46"/>
    <mergeCell ref="VUP46:VUQ46"/>
    <mergeCell ref="VVA46:VVB46"/>
    <mergeCell ref="VVL46:VVM46"/>
    <mergeCell ref="VVW46:VVX46"/>
    <mergeCell ref="VWH46:VWI46"/>
    <mergeCell ref="WGW46:WGX46"/>
    <mergeCell ref="WHH46:WHI46"/>
    <mergeCell ref="WHS46:WHT46"/>
    <mergeCell ref="WID46:WIE46"/>
    <mergeCell ref="WIO46:WIP46"/>
    <mergeCell ref="WIZ46:WJA46"/>
    <mergeCell ref="WEI46:WEJ46"/>
    <mergeCell ref="WET46:WEU46"/>
    <mergeCell ref="WFE46:WFF46"/>
    <mergeCell ref="WFP46:WFQ46"/>
    <mergeCell ref="WGA46:WGB46"/>
    <mergeCell ref="WGL46:WGM46"/>
    <mergeCell ref="WBU46:WBV46"/>
    <mergeCell ref="WCF46:WCG46"/>
    <mergeCell ref="WCQ46:WCR46"/>
    <mergeCell ref="WDB46:WDC46"/>
    <mergeCell ref="WDM46:WDN46"/>
    <mergeCell ref="WDX46:WDY46"/>
    <mergeCell ref="WOM46:WON46"/>
    <mergeCell ref="WOX46:WOY46"/>
    <mergeCell ref="WPI46:WPJ46"/>
    <mergeCell ref="WPT46:WPU46"/>
    <mergeCell ref="WQE46:WQF46"/>
    <mergeCell ref="WQP46:WQQ46"/>
    <mergeCell ref="WLY46:WLZ46"/>
    <mergeCell ref="WMJ46:WMK46"/>
    <mergeCell ref="WMU46:WMV46"/>
    <mergeCell ref="WNF46:WNG46"/>
    <mergeCell ref="WNQ46:WNR46"/>
    <mergeCell ref="WOB46:WOC46"/>
    <mergeCell ref="WJK46:WJL46"/>
    <mergeCell ref="WJV46:WJW46"/>
    <mergeCell ref="WKG46:WKH46"/>
    <mergeCell ref="WKR46:WKS46"/>
    <mergeCell ref="WLC46:WLD46"/>
    <mergeCell ref="WLN46:WLO46"/>
    <mergeCell ref="WZX46:WZY46"/>
    <mergeCell ref="XAI46:XAJ46"/>
    <mergeCell ref="XAT46:XAU46"/>
    <mergeCell ref="WWC46:WWD46"/>
    <mergeCell ref="WWN46:WWO46"/>
    <mergeCell ref="WWY46:WWZ46"/>
    <mergeCell ref="WXJ46:WXK46"/>
    <mergeCell ref="WXU46:WXV46"/>
    <mergeCell ref="WYF46:WYG46"/>
    <mergeCell ref="WTO46:WTP46"/>
    <mergeCell ref="WTZ46:WUA46"/>
    <mergeCell ref="WUK46:WUL46"/>
    <mergeCell ref="WUV46:WUW46"/>
    <mergeCell ref="WVG46:WVH46"/>
    <mergeCell ref="WVR46:WVS46"/>
    <mergeCell ref="WRA46:WRB46"/>
    <mergeCell ref="WRL46:WRM46"/>
    <mergeCell ref="WRW46:WRX46"/>
    <mergeCell ref="WSH46:WSI46"/>
    <mergeCell ref="WSS46:WST46"/>
    <mergeCell ref="WTD46:WTE46"/>
    <mergeCell ref="A55:A56"/>
    <mergeCell ref="C55:C56"/>
    <mergeCell ref="A57:A58"/>
    <mergeCell ref="C57:C58"/>
    <mergeCell ref="A59:A60"/>
    <mergeCell ref="C59:C60"/>
    <mergeCell ref="J52:K52"/>
    <mergeCell ref="D53:E53"/>
    <mergeCell ref="F53:G53"/>
    <mergeCell ref="H53:H54"/>
    <mergeCell ref="I53:I54"/>
    <mergeCell ref="J53:J54"/>
    <mergeCell ref="K53:K54"/>
    <mergeCell ref="XDS46:XDT46"/>
    <mergeCell ref="XED46:XEE46"/>
    <mergeCell ref="XEO46:XEP46"/>
    <mergeCell ref="XEZ46:XFA46"/>
    <mergeCell ref="A47:K47"/>
    <mergeCell ref="A51:A54"/>
    <mergeCell ref="B51:B54"/>
    <mergeCell ref="C51:C54"/>
    <mergeCell ref="D51:K51"/>
    <mergeCell ref="D52:I52"/>
    <mergeCell ref="XBE46:XBF46"/>
    <mergeCell ref="XBP46:XBQ46"/>
    <mergeCell ref="XCA46:XCB46"/>
    <mergeCell ref="XCL46:XCM46"/>
    <mergeCell ref="XCW46:XCX46"/>
    <mergeCell ref="XDH46:XDI46"/>
    <mergeCell ref="WYQ46:WYR46"/>
    <mergeCell ref="WZB46:WZC46"/>
    <mergeCell ref="WZM46:WZN46"/>
    <mergeCell ref="A70:A71"/>
    <mergeCell ref="C70:C71"/>
    <mergeCell ref="A72:A73"/>
    <mergeCell ref="C72:C73"/>
    <mergeCell ref="A75:B75"/>
    <mergeCell ref="A76:K76"/>
    <mergeCell ref="H66:H67"/>
    <mergeCell ref="I66:I67"/>
    <mergeCell ref="J66:J67"/>
    <mergeCell ref="K66:K67"/>
    <mergeCell ref="A68:A69"/>
    <mergeCell ref="C68:C69"/>
    <mergeCell ref="A62:B62"/>
    <mergeCell ref="A63:K63"/>
    <mergeCell ref="A64:A67"/>
    <mergeCell ref="B64:B67"/>
    <mergeCell ref="C64:C67"/>
    <mergeCell ref="D64:K64"/>
    <mergeCell ref="D65:I65"/>
    <mergeCell ref="J65:K65"/>
    <mergeCell ref="D66:E66"/>
    <mergeCell ref="F66:G66"/>
    <mergeCell ref="A89:K89"/>
    <mergeCell ref="A90:A93"/>
    <mergeCell ref="B90:B93"/>
    <mergeCell ref="C90:C93"/>
    <mergeCell ref="D90:K90"/>
    <mergeCell ref="D91:I91"/>
    <mergeCell ref="J91:K91"/>
    <mergeCell ref="D92:E92"/>
    <mergeCell ref="F92:G92"/>
    <mergeCell ref="H92:H93"/>
    <mergeCell ref="J79:J80"/>
    <mergeCell ref="K79:K80"/>
    <mergeCell ref="A81:A82"/>
    <mergeCell ref="A83:A84"/>
    <mergeCell ref="A85:A86"/>
    <mergeCell ref="A88:B88"/>
    <mergeCell ref="A77:A80"/>
    <mergeCell ref="B77:B80"/>
    <mergeCell ref="C77:C80"/>
    <mergeCell ref="D77:K77"/>
    <mergeCell ref="D78:I78"/>
    <mergeCell ref="J78:K78"/>
    <mergeCell ref="D79:E79"/>
    <mergeCell ref="F79:G79"/>
    <mergeCell ref="H79:H80"/>
    <mergeCell ref="I79:I80"/>
    <mergeCell ref="D105:E105"/>
    <mergeCell ref="F105:G105"/>
    <mergeCell ref="H105:H106"/>
    <mergeCell ref="I105:I106"/>
    <mergeCell ref="J105:J106"/>
    <mergeCell ref="K105:K106"/>
    <mergeCell ref="A98:A99"/>
    <mergeCell ref="C98:C99"/>
    <mergeCell ref="A101:B101"/>
    <mergeCell ref="A102:K102"/>
    <mergeCell ref="A103:A106"/>
    <mergeCell ref="B103:B106"/>
    <mergeCell ref="C103:C106"/>
    <mergeCell ref="D103:K103"/>
    <mergeCell ref="D104:I104"/>
    <mergeCell ref="J104:K104"/>
    <mergeCell ref="I92:I93"/>
    <mergeCell ref="J92:J93"/>
    <mergeCell ref="K92:K93"/>
    <mergeCell ref="A94:A95"/>
    <mergeCell ref="C94:C95"/>
    <mergeCell ref="A96:A97"/>
    <mergeCell ref="C96:C97"/>
    <mergeCell ref="H118:H119"/>
    <mergeCell ref="I118:I119"/>
    <mergeCell ref="J118:J119"/>
    <mergeCell ref="K118:K119"/>
    <mergeCell ref="A120:A121"/>
    <mergeCell ref="A122:A123"/>
    <mergeCell ref="A114:B114"/>
    <mergeCell ref="A115:K115"/>
    <mergeCell ref="A116:A119"/>
    <mergeCell ref="B116:B119"/>
    <mergeCell ref="C116:C119"/>
    <mergeCell ref="D116:K116"/>
    <mergeCell ref="D117:I117"/>
    <mergeCell ref="J117:K117"/>
    <mergeCell ref="D118:E118"/>
    <mergeCell ref="F118:G118"/>
    <mergeCell ref="A107:A108"/>
    <mergeCell ref="C107:C108"/>
    <mergeCell ref="A109:A110"/>
    <mergeCell ref="C109:C110"/>
    <mergeCell ref="A111:A112"/>
    <mergeCell ref="C111:C112"/>
    <mergeCell ref="A135:A136"/>
    <mergeCell ref="C135:C136"/>
    <mergeCell ref="A137:A138"/>
    <mergeCell ref="C137:C138"/>
    <mergeCell ref="A140:B140"/>
    <mergeCell ref="A141:K141"/>
    <mergeCell ref="F131:G131"/>
    <mergeCell ref="H131:H132"/>
    <mergeCell ref="I131:I132"/>
    <mergeCell ref="J131:J132"/>
    <mergeCell ref="K131:K132"/>
    <mergeCell ref="A133:A134"/>
    <mergeCell ref="C133:C134"/>
    <mergeCell ref="A124:A125"/>
    <mergeCell ref="A127:B127"/>
    <mergeCell ref="A128:K128"/>
    <mergeCell ref="A129:A132"/>
    <mergeCell ref="B129:B132"/>
    <mergeCell ref="C129:C132"/>
    <mergeCell ref="D129:K129"/>
    <mergeCell ref="D130:I130"/>
    <mergeCell ref="J130:K130"/>
    <mergeCell ref="D131:E131"/>
    <mergeCell ref="D157:E157"/>
    <mergeCell ref="F157:G157"/>
    <mergeCell ref="H157:H158"/>
    <mergeCell ref="I157:I158"/>
    <mergeCell ref="J157:J158"/>
    <mergeCell ref="K157:K158"/>
    <mergeCell ref="A150:A151"/>
    <mergeCell ref="C150:C151"/>
    <mergeCell ref="A153:B153"/>
    <mergeCell ref="A154:K154"/>
    <mergeCell ref="A155:A158"/>
    <mergeCell ref="B155:B158"/>
    <mergeCell ref="C155:C158"/>
    <mergeCell ref="D155:K155"/>
    <mergeCell ref="D156:I156"/>
    <mergeCell ref="J156:K156"/>
    <mergeCell ref="J144:J145"/>
    <mergeCell ref="K144:K145"/>
    <mergeCell ref="A146:A147"/>
    <mergeCell ref="C146:C147"/>
    <mergeCell ref="A148:A149"/>
    <mergeCell ref="C148:C149"/>
    <mergeCell ref="A142:A145"/>
    <mergeCell ref="B142:B145"/>
    <mergeCell ref="C142:C145"/>
    <mergeCell ref="D142:K142"/>
    <mergeCell ref="D143:I143"/>
    <mergeCell ref="J143:K143"/>
    <mergeCell ref="D144:E144"/>
    <mergeCell ref="F144:G144"/>
    <mergeCell ref="H144:H145"/>
    <mergeCell ref="I144:I145"/>
    <mergeCell ref="A172:A173"/>
    <mergeCell ref="C172:C173"/>
    <mergeCell ref="A174:A175"/>
    <mergeCell ref="C174:C175"/>
    <mergeCell ref="A176:A177"/>
    <mergeCell ref="C176:C177"/>
    <mergeCell ref="J169:K169"/>
    <mergeCell ref="D170:E170"/>
    <mergeCell ref="F170:G170"/>
    <mergeCell ref="H170:H171"/>
    <mergeCell ref="I170:I171"/>
    <mergeCell ref="J170:J171"/>
    <mergeCell ref="K170:K171"/>
    <mergeCell ref="A159:A160"/>
    <mergeCell ref="A161:A162"/>
    <mergeCell ref="A163:A164"/>
    <mergeCell ref="A166:B166"/>
    <mergeCell ref="A167:K167"/>
    <mergeCell ref="A168:A171"/>
    <mergeCell ref="B168:B171"/>
    <mergeCell ref="C168:C171"/>
    <mergeCell ref="D168:K168"/>
    <mergeCell ref="D169:I169"/>
    <mergeCell ref="A187:A188"/>
    <mergeCell ref="C187:C188"/>
    <mergeCell ref="A189:A190"/>
    <mergeCell ref="C189:C190"/>
    <mergeCell ref="A192:B192"/>
    <mergeCell ref="A193:K193"/>
    <mergeCell ref="H183:H184"/>
    <mergeCell ref="I183:I184"/>
    <mergeCell ref="J183:J184"/>
    <mergeCell ref="K183:K184"/>
    <mergeCell ref="A185:A186"/>
    <mergeCell ref="C185:C186"/>
    <mergeCell ref="A179:B179"/>
    <mergeCell ref="A180:K180"/>
    <mergeCell ref="A181:A184"/>
    <mergeCell ref="B181:B184"/>
    <mergeCell ref="C181:C184"/>
    <mergeCell ref="D181:K181"/>
    <mergeCell ref="D182:I182"/>
    <mergeCell ref="J182:K182"/>
    <mergeCell ref="D183:E183"/>
    <mergeCell ref="F183:G183"/>
    <mergeCell ref="A206:K206"/>
    <mergeCell ref="A207:A210"/>
    <mergeCell ref="B207:B210"/>
    <mergeCell ref="C207:C210"/>
    <mergeCell ref="D207:K207"/>
    <mergeCell ref="D208:I208"/>
    <mergeCell ref="J208:K208"/>
    <mergeCell ref="D209:E209"/>
    <mergeCell ref="F209:G209"/>
    <mergeCell ref="H209:H210"/>
    <mergeCell ref="J196:J197"/>
    <mergeCell ref="K196:K197"/>
    <mergeCell ref="A198:A199"/>
    <mergeCell ref="A200:A201"/>
    <mergeCell ref="A202:A203"/>
    <mergeCell ref="A205:B205"/>
    <mergeCell ref="A194:A197"/>
    <mergeCell ref="B194:B197"/>
    <mergeCell ref="C194:C197"/>
    <mergeCell ref="D194:K194"/>
    <mergeCell ref="D195:I195"/>
    <mergeCell ref="J195:K195"/>
    <mergeCell ref="D196:E196"/>
    <mergeCell ref="F196:G196"/>
    <mergeCell ref="H196:H197"/>
    <mergeCell ref="I196:I197"/>
    <mergeCell ref="D222:E222"/>
    <mergeCell ref="F222:G222"/>
    <mergeCell ref="H222:H223"/>
    <mergeCell ref="I222:I223"/>
    <mergeCell ref="J222:J223"/>
    <mergeCell ref="K222:K223"/>
    <mergeCell ref="A215:A216"/>
    <mergeCell ref="C215:C216"/>
    <mergeCell ref="A218:B218"/>
    <mergeCell ref="A219:K219"/>
    <mergeCell ref="A220:A223"/>
    <mergeCell ref="B220:B223"/>
    <mergeCell ref="C220:C223"/>
    <mergeCell ref="D220:K220"/>
    <mergeCell ref="D221:I221"/>
    <mergeCell ref="J221:K221"/>
    <mergeCell ref="I209:I210"/>
    <mergeCell ref="J209:J210"/>
    <mergeCell ref="K209:K210"/>
    <mergeCell ref="A211:A212"/>
    <mergeCell ref="C211:C212"/>
    <mergeCell ref="A213:A214"/>
    <mergeCell ref="C213:C214"/>
    <mergeCell ref="H235:H236"/>
    <mergeCell ref="I235:I236"/>
    <mergeCell ref="J235:J236"/>
    <mergeCell ref="K235:K236"/>
    <mergeCell ref="A237:A238"/>
    <mergeCell ref="A239:A240"/>
    <mergeCell ref="A231:B231"/>
    <mergeCell ref="A232:K232"/>
    <mergeCell ref="A233:A236"/>
    <mergeCell ref="B233:B236"/>
    <mergeCell ref="C233:C236"/>
    <mergeCell ref="D233:K233"/>
    <mergeCell ref="D234:I234"/>
    <mergeCell ref="J234:K234"/>
    <mergeCell ref="D235:E235"/>
    <mergeCell ref="F235:G235"/>
    <mergeCell ref="A224:A225"/>
    <mergeCell ref="C224:C225"/>
    <mergeCell ref="A226:A227"/>
    <mergeCell ref="C226:C227"/>
    <mergeCell ref="A228:A229"/>
    <mergeCell ref="C228:C229"/>
    <mergeCell ref="A252:A253"/>
    <mergeCell ref="C252:C253"/>
    <mergeCell ref="A254:A255"/>
    <mergeCell ref="C254:C255"/>
    <mergeCell ref="A257:B257"/>
    <mergeCell ref="A258:K258"/>
    <mergeCell ref="F248:G248"/>
    <mergeCell ref="H248:H249"/>
    <mergeCell ref="I248:I249"/>
    <mergeCell ref="J248:J249"/>
    <mergeCell ref="K248:K249"/>
    <mergeCell ref="A250:A251"/>
    <mergeCell ref="C250:C251"/>
    <mergeCell ref="A241:A242"/>
    <mergeCell ref="A244:B244"/>
    <mergeCell ref="A245:K245"/>
    <mergeCell ref="A246:A249"/>
    <mergeCell ref="B246:B249"/>
    <mergeCell ref="C246:C249"/>
    <mergeCell ref="D246:K246"/>
    <mergeCell ref="D247:I247"/>
    <mergeCell ref="J247:K247"/>
    <mergeCell ref="D248:E248"/>
    <mergeCell ref="D274:E274"/>
    <mergeCell ref="F274:G274"/>
    <mergeCell ref="H274:H275"/>
    <mergeCell ref="I274:I275"/>
    <mergeCell ref="J274:J275"/>
    <mergeCell ref="K274:K275"/>
    <mergeCell ref="A267:A268"/>
    <mergeCell ref="C267:C268"/>
    <mergeCell ref="A270:B270"/>
    <mergeCell ref="A271:K271"/>
    <mergeCell ref="A272:A275"/>
    <mergeCell ref="B272:B275"/>
    <mergeCell ref="C272:C275"/>
    <mergeCell ref="D272:K272"/>
    <mergeCell ref="D273:I273"/>
    <mergeCell ref="J273:K273"/>
    <mergeCell ref="J261:J262"/>
    <mergeCell ref="K261:K262"/>
    <mergeCell ref="A263:A264"/>
    <mergeCell ref="C263:C264"/>
    <mergeCell ref="A265:A266"/>
    <mergeCell ref="C265:C266"/>
    <mergeCell ref="A259:A262"/>
    <mergeCell ref="B259:B262"/>
    <mergeCell ref="C259:C262"/>
    <mergeCell ref="D259:K259"/>
    <mergeCell ref="D260:I260"/>
    <mergeCell ref="J260:K260"/>
    <mergeCell ref="D261:E261"/>
    <mergeCell ref="F261:G261"/>
    <mergeCell ref="H261:H262"/>
    <mergeCell ref="I261:I262"/>
    <mergeCell ref="A289:A290"/>
    <mergeCell ref="C289:C290"/>
    <mergeCell ref="A291:A292"/>
    <mergeCell ref="C291:C292"/>
    <mergeCell ref="A293:A294"/>
    <mergeCell ref="C293:C294"/>
    <mergeCell ref="J286:K286"/>
    <mergeCell ref="D287:E287"/>
    <mergeCell ref="F287:G287"/>
    <mergeCell ref="H287:H288"/>
    <mergeCell ref="I287:I288"/>
    <mergeCell ref="J287:J288"/>
    <mergeCell ref="K287:K288"/>
    <mergeCell ref="A276:A277"/>
    <mergeCell ref="A278:A279"/>
    <mergeCell ref="A280:A281"/>
    <mergeCell ref="A283:B283"/>
    <mergeCell ref="A284:K284"/>
    <mergeCell ref="A285:A288"/>
    <mergeCell ref="B285:B288"/>
    <mergeCell ref="C285:C288"/>
    <mergeCell ref="D285:K285"/>
    <mergeCell ref="D286:I286"/>
    <mergeCell ref="A304:A305"/>
    <mergeCell ref="C304:C305"/>
    <mergeCell ref="A306:A307"/>
    <mergeCell ref="C306:C307"/>
    <mergeCell ref="A309:B309"/>
    <mergeCell ref="A310:K310"/>
    <mergeCell ref="H300:H301"/>
    <mergeCell ref="I300:I301"/>
    <mergeCell ref="J300:J301"/>
    <mergeCell ref="K300:K301"/>
    <mergeCell ref="A302:A303"/>
    <mergeCell ref="C302:C303"/>
    <mergeCell ref="A296:B296"/>
    <mergeCell ref="A297:K297"/>
    <mergeCell ref="A298:A301"/>
    <mergeCell ref="B298:B301"/>
    <mergeCell ref="C298:C301"/>
    <mergeCell ref="D298:K298"/>
    <mergeCell ref="D299:I299"/>
    <mergeCell ref="J299:K299"/>
    <mergeCell ref="D300:E300"/>
    <mergeCell ref="F300:G300"/>
    <mergeCell ref="A323:K323"/>
    <mergeCell ref="A324:A327"/>
    <mergeCell ref="B324:B327"/>
    <mergeCell ref="C324:C327"/>
    <mergeCell ref="D324:K324"/>
    <mergeCell ref="D325:I325"/>
    <mergeCell ref="J325:K325"/>
    <mergeCell ref="D326:E326"/>
    <mergeCell ref="F326:G326"/>
    <mergeCell ref="H326:H327"/>
    <mergeCell ref="J313:J314"/>
    <mergeCell ref="K313:K314"/>
    <mergeCell ref="A315:A316"/>
    <mergeCell ref="A317:A318"/>
    <mergeCell ref="A319:A320"/>
    <mergeCell ref="A322:B322"/>
    <mergeCell ref="A311:A314"/>
    <mergeCell ref="B311:B314"/>
    <mergeCell ref="C311:C314"/>
    <mergeCell ref="D311:K311"/>
    <mergeCell ref="D312:I312"/>
    <mergeCell ref="J312:K312"/>
    <mergeCell ref="D313:E313"/>
    <mergeCell ref="F313:G313"/>
    <mergeCell ref="H313:H314"/>
    <mergeCell ref="I313:I314"/>
    <mergeCell ref="D339:E339"/>
    <mergeCell ref="F339:G339"/>
    <mergeCell ref="H339:H340"/>
    <mergeCell ref="I339:I340"/>
    <mergeCell ref="J339:J340"/>
    <mergeCell ref="K339:K340"/>
    <mergeCell ref="A332:A333"/>
    <mergeCell ref="C332:C333"/>
    <mergeCell ref="A335:B335"/>
    <mergeCell ref="A336:K336"/>
    <mergeCell ref="A337:A340"/>
    <mergeCell ref="B337:B340"/>
    <mergeCell ref="C337:C340"/>
    <mergeCell ref="D337:K337"/>
    <mergeCell ref="D338:I338"/>
    <mergeCell ref="J338:K338"/>
    <mergeCell ref="I326:I327"/>
    <mergeCell ref="J326:J327"/>
    <mergeCell ref="K326:K327"/>
    <mergeCell ref="A328:A329"/>
    <mergeCell ref="C328:C329"/>
    <mergeCell ref="A330:A331"/>
    <mergeCell ref="C330:C331"/>
    <mergeCell ref="H352:H353"/>
    <mergeCell ref="I352:I353"/>
    <mergeCell ref="J352:J353"/>
    <mergeCell ref="K352:K353"/>
    <mergeCell ref="A354:A355"/>
    <mergeCell ref="C354:C355"/>
    <mergeCell ref="A348:B348"/>
    <mergeCell ref="A349:K349"/>
    <mergeCell ref="A350:A353"/>
    <mergeCell ref="B350:B353"/>
    <mergeCell ref="C350:C353"/>
    <mergeCell ref="D350:K350"/>
    <mergeCell ref="D351:I351"/>
    <mergeCell ref="J351:K351"/>
    <mergeCell ref="D352:E352"/>
    <mergeCell ref="F352:G352"/>
    <mergeCell ref="A341:A342"/>
    <mergeCell ref="C341:C342"/>
    <mergeCell ref="A343:A344"/>
    <mergeCell ref="C343:C344"/>
    <mergeCell ref="A345:A346"/>
    <mergeCell ref="C345:C346"/>
    <mergeCell ref="J365:J366"/>
    <mergeCell ref="K365:K366"/>
    <mergeCell ref="A367:A368"/>
    <mergeCell ref="C367:C368"/>
    <mergeCell ref="A369:A370"/>
    <mergeCell ref="C369:C370"/>
    <mergeCell ref="A363:A366"/>
    <mergeCell ref="B363:B366"/>
    <mergeCell ref="C363:C366"/>
    <mergeCell ref="D363:K363"/>
    <mergeCell ref="D364:I364"/>
    <mergeCell ref="J364:K364"/>
    <mergeCell ref="D365:E365"/>
    <mergeCell ref="F365:G365"/>
    <mergeCell ref="H365:H366"/>
    <mergeCell ref="I365:I366"/>
    <mergeCell ref="A356:A357"/>
    <mergeCell ref="C356:C357"/>
    <mergeCell ref="A358:A359"/>
    <mergeCell ref="C358:C359"/>
    <mergeCell ref="A361:B361"/>
    <mergeCell ref="A362:K362"/>
    <mergeCell ref="A380:A381"/>
    <mergeCell ref="C380:C381"/>
    <mergeCell ref="A382:A383"/>
    <mergeCell ref="C382:C383"/>
    <mergeCell ref="A384:A385"/>
    <mergeCell ref="C384:C385"/>
    <mergeCell ref="D378:E378"/>
    <mergeCell ref="F378:G378"/>
    <mergeCell ref="H378:H379"/>
    <mergeCell ref="I378:I379"/>
    <mergeCell ref="J378:J379"/>
    <mergeCell ref="K378:K379"/>
    <mergeCell ref="A371:A372"/>
    <mergeCell ref="C371:C372"/>
    <mergeCell ref="A374:B374"/>
    <mergeCell ref="A375:K375"/>
    <mergeCell ref="A376:A379"/>
    <mergeCell ref="B376:B379"/>
    <mergeCell ref="C376:C379"/>
    <mergeCell ref="D376:K376"/>
    <mergeCell ref="D377:I377"/>
    <mergeCell ref="J377:K377"/>
    <mergeCell ref="A395:A396"/>
    <mergeCell ref="C395:C396"/>
    <mergeCell ref="A397:A398"/>
    <mergeCell ref="C397:C398"/>
    <mergeCell ref="A400:B400"/>
    <mergeCell ref="H391:H392"/>
    <mergeCell ref="I391:I392"/>
    <mergeCell ref="J391:J392"/>
    <mergeCell ref="K391:K392"/>
    <mergeCell ref="A393:A394"/>
    <mergeCell ref="C393:C394"/>
    <mergeCell ref="A387:B387"/>
    <mergeCell ref="A388:K388"/>
    <mergeCell ref="A389:A392"/>
    <mergeCell ref="B389:B392"/>
    <mergeCell ref="C389:C392"/>
    <mergeCell ref="D389:K389"/>
    <mergeCell ref="D390:I390"/>
    <mergeCell ref="J390:K390"/>
    <mergeCell ref="D391:E391"/>
    <mergeCell ref="F391:G391"/>
  </mergeCells>
  <printOptions horizontalCentered="1"/>
  <pageMargins left="0.25" right="0.2" top="0.5" bottom="0.25" header="0.5" footer="0.5"/>
  <pageSetup paperSize="9" scale="94" fitToWidth="0" orientation="portrait" r:id="rId1"/>
  <rowBreaks count="9" manualBreakCount="9">
    <brk id="46" max="16383" man="1"/>
    <brk id="88" max="16383" man="1"/>
    <brk id="127" max="16383" man="1"/>
    <brk id="166" max="16383" man="1"/>
    <brk id="205" max="16383" man="1"/>
    <brk id="244" max="16383" man="1"/>
    <brk id="283" max="16383" man="1"/>
    <brk id="322" max="16383" man="1"/>
    <brk id="36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B64"/>
  <sheetViews>
    <sheetView view="pageBreakPreview" zoomScaleSheetLayoutView="100" workbookViewId="0">
      <selection activeCell="A6" sqref="A6:P6"/>
    </sheetView>
  </sheetViews>
  <sheetFormatPr defaultColWidth="9.140625" defaultRowHeight="15"/>
  <cols>
    <col min="1" max="1" width="10.7109375" style="1" customWidth="1"/>
    <col min="2" max="3" width="7.7109375" style="186" customWidth="1"/>
    <col min="4" max="4" width="10.7109375" style="653" customWidth="1"/>
    <col min="5" max="5" width="7.7109375" style="186" customWidth="1"/>
    <col min="6" max="6" width="10.7109375" style="653" customWidth="1"/>
    <col min="7" max="7" width="7.7109375" style="654" customWidth="1"/>
    <col min="8" max="8" width="7.7109375" style="186" customWidth="1"/>
    <col min="9" max="9" width="10.7109375" style="653" customWidth="1"/>
    <col min="10" max="10" width="7.7109375" style="186" customWidth="1"/>
    <col min="11" max="11" width="10.7109375" style="653" customWidth="1"/>
    <col min="12" max="13" width="7.7109375" style="186" customWidth="1"/>
    <col min="14" max="14" width="10.7109375" style="186" customWidth="1"/>
    <col min="15" max="15" width="7.7109375" style="186" customWidth="1"/>
    <col min="16" max="16" width="10.5703125" style="186" customWidth="1"/>
    <col min="17" max="17" width="9.140625" style="1" hidden="1" customWidth="1"/>
    <col min="18" max="18" width="15.5703125" style="655" hidden="1" customWidth="1"/>
    <col min="19" max="19" width="18.7109375" style="655" hidden="1" customWidth="1"/>
    <col min="20" max="20" width="15.28515625" style="655" hidden="1" customWidth="1"/>
    <col min="21" max="21" width="12.85546875" style="1" hidden="1" customWidth="1"/>
    <col min="22" max="22" width="9.140625" style="1"/>
    <col min="23" max="23" width="13.5703125" style="656" customWidth="1"/>
    <col min="24" max="24" width="15" style="656" customWidth="1"/>
    <col min="25" max="26" width="12.28515625" style="656" customWidth="1"/>
    <col min="27" max="27" width="9.140625" style="656"/>
    <col min="28" max="254" width="9.140625" style="1"/>
    <col min="255" max="255" width="6.85546875" style="1" customWidth="1"/>
    <col min="256" max="256" width="11.140625" style="1" customWidth="1"/>
    <col min="257" max="257" width="8.42578125" style="1" bestFit="1" customWidth="1"/>
    <col min="258" max="258" width="12.5703125" style="1" customWidth="1"/>
    <col min="259" max="259" width="9.85546875" style="1" bestFit="1" customWidth="1"/>
    <col min="260" max="260" width="12.5703125" style="1" customWidth="1"/>
    <col min="261" max="261" width="11.42578125" style="1" bestFit="1" customWidth="1"/>
    <col min="262" max="262" width="8.42578125" style="1" bestFit="1" customWidth="1"/>
    <col min="263" max="263" width="12.5703125" style="1" customWidth="1"/>
    <col min="264" max="264" width="8.42578125" style="1" bestFit="1" customWidth="1"/>
    <col min="265" max="265" width="12.5703125" style="1" customWidth="1"/>
    <col min="266" max="268" width="12.140625" style="1" customWidth="1"/>
    <col min="269" max="510" width="9.140625" style="1"/>
    <col min="511" max="511" width="6.85546875" style="1" customWidth="1"/>
    <col min="512" max="512" width="11.140625" style="1" customWidth="1"/>
    <col min="513" max="513" width="8.42578125" style="1" bestFit="1" customWidth="1"/>
    <col min="514" max="514" width="12.5703125" style="1" customWidth="1"/>
    <col min="515" max="515" width="9.85546875" style="1" bestFit="1" customWidth="1"/>
    <col min="516" max="516" width="12.5703125" style="1" customWidth="1"/>
    <col min="517" max="517" width="11.42578125" style="1" bestFit="1" customWidth="1"/>
    <col min="518" max="518" width="8.42578125" style="1" bestFit="1" customWidth="1"/>
    <col min="519" max="519" width="12.5703125" style="1" customWidth="1"/>
    <col min="520" max="520" width="8.42578125" style="1" bestFit="1" customWidth="1"/>
    <col min="521" max="521" width="12.5703125" style="1" customWidth="1"/>
    <col min="522" max="524" width="12.140625" style="1" customWidth="1"/>
    <col min="525" max="766" width="9.140625" style="1"/>
    <col min="767" max="767" width="6.85546875" style="1" customWidth="1"/>
    <col min="768" max="768" width="11.140625" style="1" customWidth="1"/>
    <col min="769" max="769" width="8.42578125" style="1" bestFit="1" customWidth="1"/>
    <col min="770" max="770" width="12.5703125" style="1" customWidth="1"/>
    <col min="771" max="771" width="9.85546875" style="1" bestFit="1" customWidth="1"/>
    <col min="772" max="772" width="12.5703125" style="1" customWidth="1"/>
    <col min="773" max="773" width="11.42578125" style="1" bestFit="1" customWidth="1"/>
    <col min="774" max="774" width="8.42578125" style="1" bestFit="1" customWidth="1"/>
    <col min="775" max="775" width="12.5703125" style="1" customWidth="1"/>
    <col min="776" max="776" width="8.42578125" style="1" bestFit="1" customWidth="1"/>
    <col min="777" max="777" width="12.5703125" style="1" customWidth="1"/>
    <col min="778" max="780" width="12.140625" style="1" customWidth="1"/>
    <col min="781" max="1022" width="9.140625" style="1"/>
    <col min="1023" max="1023" width="6.85546875" style="1" customWidth="1"/>
    <col min="1024" max="1024" width="11.140625" style="1" customWidth="1"/>
    <col min="1025" max="1025" width="8.42578125" style="1" bestFit="1" customWidth="1"/>
    <col min="1026" max="1026" width="12.5703125" style="1" customWidth="1"/>
    <col min="1027" max="1027" width="9.85546875" style="1" bestFit="1" customWidth="1"/>
    <col min="1028" max="1028" width="12.5703125" style="1" customWidth="1"/>
    <col min="1029" max="1029" width="11.42578125" style="1" bestFit="1" customWidth="1"/>
    <col min="1030" max="1030" width="8.42578125" style="1" bestFit="1" customWidth="1"/>
    <col min="1031" max="1031" width="12.5703125" style="1" customWidth="1"/>
    <col min="1032" max="1032" width="8.42578125" style="1" bestFit="1" customWidth="1"/>
    <col min="1033" max="1033" width="12.5703125" style="1" customWidth="1"/>
    <col min="1034" max="1036" width="12.140625" style="1" customWidth="1"/>
    <col min="1037" max="1278" width="9.140625" style="1"/>
    <col min="1279" max="1279" width="6.85546875" style="1" customWidth="1"/>
    <col min="1280" max="1280" width="11.140625" style="1" customWidth="1"/>
    <col min="1281" max="1281" width="8.42578125" style="1" bestFit="1" customWidth="1"/>
    <col min="1282" max="1282" width="12.5703125" style="1" customWidth="1"/>
    <col min="1283" max="1283" width="9.85546875" style="1" bestFit="1" customWidth="1"/>
    <col min="1284" max="1284" width="12.5703125" style="1" customWidth="1"/>
    <col min="1285" max="1285" width="11.42578125" style="1" bestFit="1" customWidth="1"/>
    <col min="1286" max="1286" width="8.42578125" style="1" bestFit="1" customWidth="1"/>
    <col min="1287" max="1287" width="12.5703125" style="1" customWidth="1"/>
    <col min="1288" max="1288" width="8.42578125" style="1" bestFit="1" customWidth="1"/>
    <col min="1289" max="1289" width="12.5703125" style="1" customWidth="1"/>
    <col min="1290" max="1292" width="12.140625" style="1" customWidth="1"/>
    <col min="1293" max="1534" width="9.140625" style="1"/>
    <col min="1535" max="1535" width="6.85546875" style="1" customWidth="1"/>
    <col min="1536" max="1536" width="11.140625" style="1" customWidth="1"/>
    <col min="1537" max="1537" width="8.42578125" style="1" bestFit="1" customWidth="1"/>
    <col min="1538" max="1538" width="12.5703125" style="1" customWidth="1"/>
    <col min="1539" max="1539" width="9.85546875" style="1" bestFit="1" customWidth="1"/>
    <col min="1540" max="1540" width="12.5703125" style="1" customWidth="1"/>
    <col min="1541" max="1541" width="11.42578125" style="1" bestFit="1" customWidth="1"/>
    <col min="1542" max="1542" width="8.42578125" style="1" bestFit="1" customWidth="1"/>
    <col min="1543" max="1543" width="12.5703125" style="1" customWidth="1"/>
    <col min="1544" max="1544" width="8.42578125" style="1" bestFit="1" customWidth="1"/>
    <col min="1545" max="1545" width="12.5703125" style="1" customWidth="1"/>
    <col min="1546" max="1548" width="12.140625" style="1" customWidth="1"/>
    <col min="1549" max="1790" width="9.140625" style="1"/>
    <col min="1791" max="1791" width="6.85546875" style="1" customWidth="1"/>
    <col min="1792" max="1792" width="11.140625" style="1" customWidth="1"/>
    <col min="1793" max="1793" width="8.42578125" style="1" bestFit="1" customWidth="1"/>
    <col min="1794" max="1794" width="12.5703125" style="1" customWidth="1"/>
    <col min="1795" max="1795" width="9.85546875" style="1" bestFit="1" customWidth="1"/>
    <col min="1796" max="1796" width="12.5703125" style="1" customWidth="1"/>
    <col min="1797" max="1797" width="11.42578125" style="1" bestFit="1" customWidth="1"/>
    <col min="1798" max="1798" width="8.42578125" style="1" bestFit="1" customWidth="1"/>
    <col min="1799" max="1799" width="12.5703125" style="1" customWidth="1"/>
    <col min="1800" max="1800" width="8.42578125" style="1" bestFit="1" customWidth="1"/>
    <col min="1801" max="1801" width="12.5703125" style="1" customWidth="1"/>
    <col min="1802" max="1804" width="12.140625" style="1" customWidth="1"/>
    <col min="1805" max="2046" width="9.140625" style="1"/>
    <col min="2047" max="2047" width="6.85546875" style="1" customWidth="1"/>
    <col min="2048" max="2048" width="11.140625" style="1" customWidth="1"/>
    <col min="2049" max="2049" width="8.42578125" style="1" bestFit="1" customWidth="1"/>
    <col min="2050" max="2050" width="12.5703125" style="1" customWidth="1"/>
    <col min="2051" max="2051" width="9.85546875" style="1" bestFit="1" customWidth="1"/>
    <col min="2052" max="2052" width="12.5703125" style="1" customWidth="1"/>
    <col min="2053" max="2053" width="11.42578125" style="1" bestFit="1" customWidth="1"/>
    <col min="2054" max="2054" width="8.42578125" style="1" bestFit="1" customWidth="1"/>
    <col min="2055" max="2055" width="12.5703125" style="1" customWidth="1"/>
    <col min="2056" max="2056" width="8.42578125" style="1" bestFit="1" customWidth="1"/>
    <col min="2057" max="2057" width="12.5703125" style="1" customWidth="1"/>
    <col min="2058" max="2060" width="12.140625" style="1" customWidth="1"/>
    <col min="2061" max="2302" width="9.140625" style="1"/>
    <col min="2303" max="2303" width="6.85546875" style="1" customWidth="1"/>
    <col min="2304" max="2304" width="11.140625" style="1" customWidth="1"/>
    <col min="2305" max="2305" width="8.42578125" style="1" bestFit="1" customWidth="1"/>
    <col min="2306" max="2306" width="12.5703125" style="1" customWidth="1"/>
    <col min="2307" max="2307" width="9.85546875" style="1" bestFit="1" customWidth="1"/>
    <col min="2308" max="2308" width="12.5703125" style="1" customWidth="1"/>
    <col min="2309" max="2309" width="11.42578125" style="1" bestFit="1" customWidth="1"/>
    <col min="2310" max="2310" width="8.42578125" style="1" bestFit="1" customWidth="1"/>
    <col min="2311" max="2311" width="12.5703125" style="1" customWidth="1"/>
    <col min="2312" max="2312" width="8.42578125" style="1" bestFit="1" customWidth="1"/>
    <col min="2313" max="2313" width="12.5703125" style="1" customWidth="1"/>
    <col min="2314" max="2316" width="12.140625" style="1" customWidth="1"/>
    <col min="2317" max="2558" width="9.140625" style="1"/>
    <col min="2559" max="2559" width="6.85546875" style="1" customWidth="1"/>
    <col min="2560" max="2560" width="11.140625" style="1" customWidth="1"/>
    <col min="2561" max="2561" width="8.42578125" style="1" bestFit="1" customWidth="1"/>
    <col min="2562" max="2562" width="12.5703125" style="1" customWidth="1"/>
    <col min="2563" max="2563" width="9.85546875" style="1" bestFit="1" customWidth="1"/>
    <col min="2564" max="2564" width="12.5703125" style="1" customWidth="1"/>
    <col min="2565" max="2565" width="11.42578125" style="1" bestFit="1" customWidth="1"/>
    <col min="2566" max="2566" width="8.42578125" style="1" bestFit="1" customWidth="1"/>
    <col min="2567" max="2567" width="12.5703125" style="1" customWidth="1"/>
    <col min="2568" max="2568" width="8.42578125" style="1" bestFit="1" customWidth="1"/>
    <col min="2569" max="2569" width="12.5703125" style="1" customWidth="1"/>
    <col min="2570" max="2572" width="12.140625" style="1" customWidth="1"/>
    <col min="2573" max="2814" width="9.140625" style="1"/>
    <col min="2815" max="2815" width="6.85546875" style="1" customWidth="1"/>
    <col min="2816" max="2816" width="11.140625" style="1" customWidth="1"/>
    <col min="2817" max="2817" width="8.42578125" style="1" bestFit="1" customWidth="1"/>
    <col min="2818" max="2818" width="12.5703125" style="1" customWidth="1"/>
    <col min="2819" max="2819" width="9.85546875" style="1" bestFit="1" customWidth="1"/>
    <col min="2820" max="2820" width="12.5703125" style="1" customWidth="1"/>
    <col min="2821" max="2821" width="11.42578125" style="1" bestFit="1" customWidth="1"/>
    <col min="2822" max="2822" width="8.42578125" style="1" bestFit="1" customWidth="1"/>
    <col min="2823" max="2823" width="12.5703125" style="1" customWidth="1"/>
    <col min="2824" max="2824" width="8.42578125" style="1" bestFit="1" customWidth="1"/>
    <col min="2825" max="2825" width="12.5703125" style="1" customWidth="1"/>
    <col min="2826" max="2828" width="12.140625" style="1" customWidth="1"/>
    <col min="2829" max="3070" width="9.140625" style="1"/>
    <col min="3071" max="3071" width="6.85546875" style="1" customWidth="1"/>
    <col min="3072" max="3072" width="11.140625" style="1" customWidth="1"/>
    <col min="3073" max="3073" width="8.42578125" style="1" bestFit="1" customWidth="1"/>
    <col min="3074" max="3074" width="12.5703125" style="1" customWidth="1"/>
    <col min="3075" max="3075" width="9.85546875" style="1" bestFit="1" customWidth="1"/>
    <col min="3076" max="3076" width="12.5703125" style="1" customWidth="1"/>
    <col min="3077" max="3077" width="11.42578125" style="1" bestFit="1" customWidth="1"/>
    <col min="3078" max="3078" width="8.42578125" style="1" bestFit="1" customWidth="1"/>
    <col min="3079" max="3079" width="12.5703125" style="1" customWidth="1"/>
    <col min="3080" max="3080" width="8.42578125" style="1" bestFit="1" customWidth="1"/>
    <col min="3081" max="3081" width="12.5703125" style="1" customWidth="1"/>
    <col min="3082" max="3084" width="12.140625" style="1" customWidth="1"/>
    <col min="3085" max="3326" width="9.140625" style="1"/>
    <col min="3327" max="3327" width="6.85546875" style="1" customWidth="1"/>
    <col min="3328" max="3328" width="11.140625" style="1" customWidth="1"/>
    <col min="3329" max="3329" width="8.42578125" style="1" bestFit="1" customWidth="1"/>
    <col min="3330" max="3330" width="12.5703125" style="1" customWidth="1"/>
    <col min="3331" max="3331" width="9.85546875" style="1" bestFit="1" customWidth="1"/>
    <col min="3332" max="3332" width="12.5703125" style="1" customWidth="1"/>
    <col min="3333" max="3333" width="11.42578125" style="1" bestFit="1" customWidth="1"/>
    <col min="3334" max="3334" width="8.42578125" style="1" bestFit="1" customWidth="1"/>
    <col min="3335" max="3335" width="12.5703125" style="1" customWidth="1"/>
    <col min="3336" max="3336" width="8.42578125" style="1" bestFit="1" customWidth="1"/>
    <col min="3337" max="3337" width="12.5703125" style="1" customWidth="1"/>
    <col min="3338" max="3340" width="12.140625" style="1" customWidth="1"/>
    <col min="3341" max="3582" width="9.140625" style="1"/>
    <col min="3583" max="3583" width="6.85546875" style="1" customWidth="1"/>
    <col min="3584" max="3584" width="11.140625" style="1" customWidth="1"/>
    <col min="3585" max="3585" width="8.42578125" style="1" bestFit="1" customWidth="1"/>
    <col min="3586" max="3586" width="12.5703125" style="1" customWidth="1"/>
    <col min="3587" max="3587" width="9.85546875" style="1" bestFit="1" customWidth="1"/>
    <col min="3588" max="3588" width="12.5703125" style="1" customWidth="1"/>
    <col min="3589" max="3589" width="11.42578125" style="1" bestFit="1" customWidth="1"/>
    <col min="3590" max="3590" width="8.42578125" style="1" bestFit="1" customWidth="1"/>
    <col min="3591" max="3591" width="12.5703125" style="1" customWidth="1"/>
    <col min="3592" max="3592" width="8.42578125" style="1" bestFit="1" customWidth="1"/>
    <col min="3593" max="3593" width="12.5703125" style="1" customWidth="1"/>
    <col min="3594" max="3596" width="12.140625" style="1" customWidth="1"/>
    <col min="3597" max="3838" width="9.140625" style="1"/>
    <col min="3839" max="3839" width="6.85546875" style="1" customWidth="1"/>
    <col min="3840" max="3840" width="11.140625" style="1" customWidth="1"/>
    <col min="3841" max="3841" width="8.42578125" style="1" bestFit="1" customWidth="1"/>
    <col min="3842" max="3842" width="12.5703125" style="1" customWidth="1"/>
    <col min="3843" max="3843" width="9.85546875" style="1" bestFit="1" customWidth="1"/>
    <col min="3844" max="3844" width="12.5703125" style="1" customWidth="1"/>
    <col min="3845" max="3845" width="11.42578125" style="1" bestFit="1" customWidth="1"/>
    <col min="3846" max="3846" width="8.42578125" style="1" bestFit="1" customWidth="1"/>
    <col min="3847" max="3847" width="12.5703125" style="1" customWidth="1"/>
    <col min="3848" max="3848" width="8.42578125" style="1" bestFit="1" customWidth="1"/>
    <col min="3849" max="3849" width="12.5703125" style="1" customWidth="1"/>
    <col min="3850" max="3852" width="12.140625" style="1" customWidth="1"/>
    <col min="3853" max="4094" width="9.140625" style="1"/>
    <col min="4095" max="4095" width="6.85546875" style="1" customWidth="1"/>
    <col min="4096" max="4096" width="11.140625" style="1" customWidth="1"/>
    <col min="4097" max="4097" width="8.42578125" style="1" bestFit="1" customWidth="1"/>
    <col min="4098" max="4098" width="12.5703125" style="1" customWidth="1"/>
    <col min="4099" max="4099" width="9.85546875" style="1" bestFit="1" customWidth="1"/>
    <col min="4100" max="4100" width="12.5703125" style="1" customWidth="1"/>
    <col min="4101" max="4101" width="11.42578125" style="1" bestFit="1" customWidth="1"/>
    <col min="4102" max="4102" width="8.42578125" style="1" bestFit="1" customWidth="1"/>
    <col min="4103" max="4103" width="12.5703125" style="1" customWidth="1"/>
    <col min="4104" max="4104" width="8.42578125" style="1" bestFit="1" customWidth="1"/>
    <col min="4105" max="4105" width="12.5703125" style="1" customWidth="1"/>
    <col min="4106" max="4108" width="12.140625" style="1" customWidth="1"/>
    <col min="4109" max="4350" width="9.140625" style="1"/>
    <col min="4351" max="4351" width="6.85546875" style="1" customWidth="1"/>
    <col min="4352" max="4352" width="11.140625" style="1" customWidth="1"/>
    <col min="4353" max="4353" width="8.42578125" style="1" bestFit="1" customWidth="1"/>
    <col min="4354" max="4354" width="12.5703125" style="1" customWidth="1"/>
    <col min="4355" max="4355" width="9.85546875" style="1" bestFit="1" customWidth="1"/>
    <col min="4356" max="4356" width="12.5703125" style="1" customWidth="1"/>
    <col min="4357" max="4357" width="11.42578125" style="1" bestFit="1" customWidth="1"/>
    <col min="4358" max="4358" width="8.42578125" style="1" bestFit="1" customWidth="1"/>
    <col min="4359" max="4359" width="12.5703125" style="1" customWidth="1"/>
    <col min="4360" max="4360" width="8.42578125" style="1" bestFit="1" customWidth="1"/>
    <col min="4361" max="4361" width="12.5703125" style="1" customWidth="1"/>
    <col min="4362" max="4364" width="12.140625" style="1" customWidth="1"/>
    <col min="4365" max="4606" width="9.140625" style="1"/>
    <col min="4607" max="4607" width="6.85546875" style="1" customWidth="1"/>
    <col min="4608" max="4608" width="11.140625" style="1" customWidth="1"/>
    <col min="4609" max="4609" width="8.42578125" style="1" bestFit="1" customWidth="1"/>
    <col min="4610" max="4610" width="12.5703125" style="1" customWidth="1"/>
    <col min="4611" max="4611" width="9.85546875" style="1" bestFit="1" customWidth="1"/>
    <col min="4612" max="4612" width="12.5703125" style="1" customWidth="1"/>
    <col min="4613" max="4613" width="11.42578125" style="1" bestFit="1" customWidth="1"/>
    <col min="4614" max="4614" width="8.42578125" style="1" bestFit="1" customWidth="1"/>
    <col min="4615" max="4615" width="12.5703125" style="1" customWidth="1"/>
    <col min="4616" max="4616" width="8.42578125" style="1" bestFit="1" customWidth="1"/>
    <col min="4617" max="4617" width="12.5703125" style="1" customWidth="1"/>
    <col min="4618" max="4620" width="12.140625" style="1" customWidth="1"/>
    <col min="4621" max="4862" width="9.140625" style="1"/>
    <col min="4863" max="4863" width="6.85546875" style="1" customWidth="1"/>
    <col min="4864" max="4864" width="11.140625" style="1" customWidth="1"/>
    <col min="4865" max="4865" width="8.42578125" style="1" bestFit="1" customWidth="1"/>
    <col min="4866" max="4866" width="12.5703125" style="1" customWidth="1"/>
    <col min="4867" max="4867" width="9.85546875" style="1" bestFit="1" customWidth="1"/>
    <col min="4868" max="4868" width="12.5703125" style="1" customWidth="1"/>
    <col min="4869" max="4869" width="11.42578125" style="1" bestFit="1" customWidth="1"/>
    <col min="4870" max="4870" width="8.42578125" style="1" bestFit="1" customWidth="1"/>
    <col min="4871" max="4871" width="12.5703125" style="1" customWidth="1"/>
    <col min="4872" max="4872" width="8.42578125" style="1" bestFit="1" customWidth="1"/>
    <col min="4873" max="4873" width="12.5703125" style="1" customWidth="1"/>
    <col min="4874" max="4876" width="12.140625" style="1" customWidth="1"/>
    <col min="4877" max="5118" width="9.140625" style="1"/>
    <col min="5119" max="5119" width="6.85546875" style="1" customWidth="1"/>
    <col min="5120" max="5120" width="11.140625" style="1" customWidth="1"/>
    <col min="5121" max="5121" width="8.42578125" style="1" bestFit="1" customWidth="1"/>
    <col min="5122" max="5122" width="12.5703125" style="1" customWidth="1"/>
    <col min="5123" max="5123" width="9.85546875" style="1" bestFit="1" customWidth="1"/>
    <col min="5124" max="5124" width="12.5703125" style="1" customWidth="1"/>
    <col min="5125" max="5125" width="11.42578125" style="1" bestFit="1" customWidth="1"/>
    <col min="5126" max="5126" width="8.42578125" style="1" bestFit="1" customWidth="1"/>
    <col min="5127" max="5127" width="12.5703125" style="1" customWidth="1"/>
    <col min="5128" max="5128" width="8.42578125" style="1" bestFit="1" customWidth="1"/>
    <col min="5129" max="5129" width="12.5703125" style="1" customWidth="1"/>
    <col min="5130" max="5132" width="12.140625" style="1" customWidth="1"/>
    <col min="5133" max="5374" width="9.140625" style="1"/>
    <col min="5375" max="5375" width="6.85546875" style="1" customWidth="1"/>
    <col min="5376" max="5376" width="11.140625" style="1" customWidth="1"/>
    <col min="5377" max="5377" width="8.42578125" style="1" bestFit="1" customWidth="1"/>
    <col min="5378" max="5378" width="12.5703125" style="1" customWidth="1"/>
    <col min="5379" max="5379" width="9.85546875" style="1" bestFit="1" customWidth="1"/>
    <col min="5380" max="5380" width="12.5703125" style="1" customWidth="1"/>
    <col min="5381" max="5381" width="11.42578125" style="1" bestFit="1" customWidth="1"/>
    <col min="5382" max="5382" width="8.42578125" style="1" bestFit="1" customWidth="1"/>
    <col min="5383" max="5383" width="12.5703125" style="1" customWidth="1"/>
    <col min="5384" max="5384" width="8.42578125" style="1" bestFit="1" customWidth="1"/>
    <col min="5385" max="5385" width="12.5703125" style="1" customWidth="1"/>
    <col min="5386" max="5388" width="12.140625" style="1" customWidth="1"/>
    <col min="5389" max="5630" width="9.140625" style="1"/>
    <col min="5631" max="5631" width="6.85546875" style="1" customWidth="1"/>
    <col min="5632" max="5632" width="11.140625" style="1" customWidth="1"/>
    <col min="5633" max="5633" width="8.42578125" style="1" bestFit="1" customWidth="1"/>
    <col min="5634" max="5634" width="12.5703125" style="1" customWidth="1"/>
    <col min="5635" max="5635" width="9.85546875" style="1" bestFit="1" customWidth="1"/>
    <col min="5636" max="5636" width="12.5703125" style="1" customWidth="1"/>
    <col min="5637" max="5637" width="11.42578125" style="1" bestFit="1" customWidth="1"/>
    <col min="5638" max="5638" width="8.42578125" style="1" bestFit="1" customWidth="1"/>
    <col min="5639" max="5639" width="12.5703125" style="1" customWidth="1"/>
    <col min="5640" max="5640" width="8.42578125" style="1" bestFit="1" customWidth="1"/>
    <col min="5641" max="5641" width="12.5703125" style="1" customWidth="1"/>
    <col min="5642" max="5644" width="12.140625" style="1" customWidth="1"/>
    <col min="5645" max="5886" width="9.140625" style="1"/>
    <col min="5887" max="5887" width="6.85546875" style="1" customWidth="1"/>
    <col min="5888" max="5888" width="11.140625" style="1" customWidth="1"/>
    <col min="5889" max="5889" width="8.42578125" style="1" bestFit="1" customWidth="1"/>
    <col min="5890" max="5890" width="12.5703125" style="1" customWidth="1"/>
    <col min="5891" max="5891" width="9.85546875" style="1" bestFit="1" customWidth="1"/>
    <col min="5892" max="5892" width="12.5703125" style="1" customWidth="1"/>
    <col min="5893" max="5893" width="11.42578125" style="1" bestFit="1" customWidth="1"/>
    <col min="5894" max="5894" width="8.42578125" style="1" bestFit="1" customWidth="1"/>
    <col min="5895" max="5895" width="12.5703125" style="1" customWidth="1"/>
    <col min="5896" max="5896" width="8.42578125" style="1" bestFit="1" customWidth="1"/>
    <col min="5897" max="5897" width="12.5703125" style="1" customWidth="1"/>
    <col min="5898" max="5900" width="12.140625" style="1" customWidth="1"/>
    <col min="5901" max="6142" width="9.140625" style="1"/>
    <col min="6143" max="6143" width="6.85546875" style="1" customWidth="1"/>
    <col min="6144" max="6144" width="11.140625" style="1" customWidth="1"/>
    <col min="6145" max="6145" width="8.42578125" style="1" bestFit="1" customWidth="1"/>
    <col min="6146" max="6146" width="12.5703125" style="1" customWidth="1"/>
    <col min="6147" max="6147" width="9.85546875" style="1" bestFit="1" customWidth="1"/>
    <col min="6148" max="6148" width="12.5703125" style="1" customWidth="1"/>
    <col min="6149" max="6149" width="11.42578125" style="1" bestFit="1" customWidth="1"/>
    <col min="6150" max="6150" width="8.42578125" style="1" bestFit="1" customWidth="1"/>
    <col min="6151" max="6151" width="12.5703125" style="1" customWidth="1"/>
    <col min="6152" max="6152" width="8.42578125" style="1" bestFit="1" customWidth="1"/>
    <col min="6153" max="6153" width="12.5703125" style="1" customWidth="1"/>
    <col min="6154" max="6156" width="12.140625" style="1" customWidth="1"/>
    <col min="6157" max="6398" width="9.140625" style="1"/>
    <col min="6399" max="6399" width="6.85546875" style="1" customWidth="1"/>
    <col min="6400" max="6400" width="11.140625" style="1" customWidth="1"/>
    <col min="6401" max="6401" width="8.42578125" style="1" bestFit="1" customWidth="1"/>
    <col min="6402" max="6402" width="12.5703125" style="1" customWidth="1"/>
    <col min="6403" max="6403" width="9.85546875" style="1" bestFit="1" customWidth="1"/>
    <col min="6404" max="6404" width="12.5703125" style="1" customWidth="1"/>
    <col min="6405" max="6405" width="11.42578125" style="1" bestFit="1" customWidth="1"/>
    <col min="6406" max="6406" width="8.42578125" style="1" bestFit="1" customWidth="1"/>
    <col min="6407" max="6407" width="12.5703125" style="1" customWidth="1"/>
    <col min="6408" max="6408" width="8.42578125" style="1" bestFit="1" customWidth="1"/>
    <col min="6409" max="6409" width="12.5703125" style="1" customWidth="1"/>
    <col min="6410" max="6412" width="12.140625" style="1" customWidth="1"/>
    <col min="6413" max="6654" width="9.140625" style="1"/>
    <col min="6655" max="6655" width="6.85546875" style="1" customWidth="1"/>
    <col min="6656" max="6656" width="11.140625" style="1" customWidth="1"/>
    <col min="6657" max="6657" width="8.42578125" style="1" bestFit="1" customWidth="1"/>
    <col min="6658" max="6658" width="12.5703125" style="1" customWidth="1"/>
    <col min="6659" max="6659" width="9.85546875" style="1" bestFit="1" customWidth="1"/>
    <col min="6660" max="6660" width="12.5703125" style="1" customWidth="1"/>
    <col min="6661" max="6661" width="11.42578125" style="1" bestFit="1" customWidth="1"/>
    <col min="6662" max="6662" width="8.42578125" style="1" bestFit="1" customWidth="1"/>
    <col min="6663" max="6663" width="12.5703125" style="1" customWidth="1"/>
    <col min="6664" max="6664" width="8.42578125" style="1" bestFit="1" customWidth="1"/>
    <col min="6665" max="6665" width="12.5703125" style="1" customWidth="1"/>
    <col min="6666" max="6668" width="12.140625" style="1" customWidth="1"/>
    <col min="6669" max="6910" width="9.140625" style="1"/>
    <col min="6911" max="6911" width="6.85546875" style="1" customWidth="1"/>
    <col min="6912" max="6912" width="11.140625" style="1" customWidth="1"/>
    <col min="6913" max="6913" width="8.42578125" style="1" bestFit="1" customWidth="1"/>
    <col min="6914" max="6914" width="12.5703125" style="1" customWidth="1"/>
    <col min="6915" max="6915" width="9.85546875" style="1" bestFit="1" customWidth="1"/>
    <col min="6916" max="6916" width="12.5703125" style="1" customWidth="1"/>
    <col min="6917" max="6917" width="11.42578125" style="1" bestFit="1" customWidth="1"/>
    <col min="6918" max="6918" width="8.42578125" style="1" bestFit="1" customWidth="1"/>
    <col min="6919" max="6919" width="12.5703125" style="1" customWidth="1"/>
    <col min="6920" max="6920" width="8.42578125" style="1" bestFit="1" customWidth="1"/>
    <col min="6921" max="6921" width="12.5703125" style="1" customWidth="1"/>
    <col min="6922" max="6924" width="12.140625" style="1" customWidth="1"/>
    <col min="6925" max="7166" width="9.140625" style="1"/>
    <col min="7167" max="7167" width="6.85546875" style="1" customWidth="1"/>
    <col min="7168" max="7168" width="11.140625" style="1" customWidth="1"/>
    <col min="7169" max="7169" width="8.42578125" style="1" bestFit="1" customWidth="1"/>
    <col min="7170" max="7170" width="12.5703125" style="1" customWidth="1"/>
    <col min="7171" max="7171" width="9.85546875" style="1" bestFit="1" customWidth="1"/>
    <col min="7172" max="7172" width="12.5703125" style="1" customWidth="1"/>
    <col min="7173" max="7173" width="11.42578125" style="1" bestFit="1" customWidth="1"/>
    <col min="7174" max="7174" width="8.42578125" style="1" bestFit="1" customWidth="1"/>
    <col min="7175" max="7175" width="12.5703125" style="1" customWidth="1"/>
    <col min="7176" max="7176" width="8.42578125" style="1" bestFit="1" customWidth="1"/>
    <col min="7177" max="7177" width="12.5703125" style="1" customWidth="1"/>
    <col min="7178" max="7180" width="12.140625" style="1" customWidth="1"/>
    <col min="7181" max="7422" width="9.140625" style="1"/>
    <col min="7423" max="7423" width="6.85546875" style="1" customWidth="1"/>
    <col min="7424" max="7424" width="11.140625" style="1" customWidth="1"/>
    <col min="7425" max="7425" width="8.42578125" style="1" bestFit="1" customWidth="1"/>
    <col min="7426" max="7426" width="12.5703125" style="1" customWidth="1"/>
    <col min="7427" max="7427" width="9.85546875" style="1" bestFit="1" customWidth="1"/>
    <col min="7428" max="7428" width="12.5703125" style="1" customWidth="1"/>
    <col min="7429" max="7429" width="11.42578125" style="1" bestFit="1" customWidth="1"/>
    <col min="7430" max="7430" width="8.42578125" style="1" bestFit="1" customWidth="1"/>
    <col min="7431" max="7431" width="12.5703125" style="1" customWidth="1"/>
    <col min="7432" max="7432" width="8.42578125" style="1" bestFit="1" customWidth="1"/>
    <col min="7433" max="7433" width="12.5703125" style="1" customWidth="1"/>
    <col min="7434" max="7436" width="12.140625" style="1" customWidth="1"/>
    <col min="7437" max="7678" width="9.140625" style="1"/>
    <col min="7679" max="7679" width="6.85546875" style="1" customWidth="1"/>
    <col min="7680" max="7680" width="11.140625" style="1" customWidth="1"/>
    <col min="7681" max="7681" width="8.42578125" style="1" bestFit="1" customWidth="1"/>
    <col min="7682" max="7682" width="12.5703125" style="1" customWidth="1"/>
    <col min="7683" max="7683" width="9.85546875" style="1" bestFit="1" customWidth="1"/>
    <col min="7684" max="7684" width="12.5703125" style="1" customWidth="1"/>
    <col min="7685" max="7685" width="11.42578125" style="1" bestFit="1" customWidth="1"/>
    <col min="7686" max="7686" width="8.42578125" style="1" bestFit="1" customWidth="1"/>
    <col min="7687" max="7687" width="12.5703125" style="1" customWidth="1"/>
    <col min="7688" max="7688" width="8.42578125" style="1" bestFit="1" customWidth="1"/>
    <col min="7689" max="7689" width="12.5703125" style="1" customWidth="1"/>
    <col min="7690" max="7692" width="12.140625" style="1" customWidth="1"/>
    <col min="7693" max="7934" width="9.140625" style="1"/>
    <col min="7935" max="7935" width="6.85546875" style="1" customWidth="1"/>
    <col min="7936" max="7936" width="11.140625" style="1" customWidth="1"/>
    <col min="7937" max="7937" width="8.42578125" style="1" bestFit="1" customWidth="1"/>
    <col min="7938" max="7938" width="12.5703125" style="1" customWidth="1"/>
    <col min="7939" max="7939" width="9.85546875" style="1" bestFit="1" customWidth="1"/>
    <col min="7940" max="7940" width="12.5703125" style="1" customWidth="1"/>
    <col min="7941" max="7941" width="11.42578125" style="1" bestFit="1" customWidth="1"/>
    <col min="7942" max="7942" width="8.42578125" style="1" bestFit="1" customWidth="1"/>
    <col min="7943" max="7943" width="12.5703125" style="1" customWidth="1"/>
    <col min="7944" max="7944" width="8.42578125" style="1" bestFit="1" customWidth="1"/>
    <col min="7945" max="7945" width="12.5703125" style="1" customWidth="1"/>
    <col min="7946" max="7948" width="12.140625" style="1" customWidth="1"/>
    <col min="7949" max="8190" width="9.140625" style="1"/>
    <col min="8191" max="8191" width="6.85546875" style="1" customWidth="1"/>
    <col min="8192" max="8192" width="11.140625" style="1" customWidth="1"/>
    <col min="8193" max="8193" width="8.42578125" style="1" bestFit="1" customWidth="1"/>
    <col min="8194" max="8194" width="12.5703125" style="1" customWidth="1"/>
    <col min="8195" max="8195" width="9.85546875" style="1" bestFit="1" customWidth="1"/>
    <col min="8196" max="8196" width="12.5703125" style="1" customWidth="1"/>
    <col min="8197" max="8197" width="11.42578125" style="1" bestFit="1" customWidth="1"/>
    <col min="8198" max="8198" width="8.42578125" style="1" bestFit="1" customWidth="1"/>
    <col min="8199" max="8199" width="12.5703125" style="1" customWidth="1"/>
    <col min="8200" max="8200" width="8.42578125" style="1" bestFit="1" customWidth="1"/>
    <col min="8201" max="8201" width="12.5703125" style="1" customWidth="1"/>
    <col min="8202" max="8204" width="12.140625" style="1" customWidth="1"/>
    <col min="8205" max="8446" width="9.140625" style="1"/>
    <col min="8447" max="8447" width="6.85546875" style="1" customWidth="1"/>
    <col min="8448" max="8448" width="11.140625" style="1" customWidth="1"/>
    <col min="8449" max="8449" width="8.42578125" style="1" bestFit="1" customWidth="1"/>
    <col min="8450" max="8450" width="12.5703125" style="1" customWidth="1"/>
    <col min="8451" max="8451" width="9.85546875" style="1" bestFit="1" customWidth="1"/>
    <col min="8452" max="8452" width="12.5703125" style="1" customWidth="1"/>
    <col min="8453" max="8453" width="11.42578125" style="1" bestFit="1" customWidth="1"/>
    <col min="8454" max="8454" width="8.42578125" style="1" bestFit="1" customWidth="1"/>
    <col min="8455" max="8455" width="12.5703125" style="1" customWidth="1"/>
    <col min="8456" max="8456" width="8.42578125" style="1" bestFit="1" customWidth="1"/>
    <col min="8457" max="8457" width="12.5703125" style="1" customWidth="1"/>
    <col min="8458" max="8460" width="12.140625" style="1" customWidth="1"/>
    <col min="8461" max="8702" width="9.140625" style="1"/>
    <col min="8703" max="8703" width="6.85546875" style="1" customWidth="1"/>
    <col min="8704" max="8704" width="11.140625" style="1" customWidth="1"/>
    <col min="8705" max="8705" width="8.42578125" style="1" bestFit="1" customWidth="1"/>
    <col min="8706" max="8706" width="12.5703125" style="1" customWidth="1"/>
    <col min="8707" max="8707" width="9.85546875" style="1" bestFit="1" customWidth="1"/>
    <col min="8708" max="8708" width="12.5703125" style="1" customWidth="1"/>
    <col min="8709" max="8709" width="11.42578125" style="1" bestFit="1" customWidth="1"/>
    <col min="8710" max="8710" width="8.42578125" style="1" bestFit="1" customWidth="1"/>
    <col min="8711" max="8711" width="12.5703125" style="1" customWidth="1"/>
    <col min="8712" max="8712" width="8.42578125" style="1" bestFit="1" customWidth="1"/>
    <col min="8713" max="8713" width="12.5703125" style="1" customWidth="1"/>
    <col min="8714" max="8716" width="12.140625" style="1" customWidth="1"/>
    <col min="8717" max="8958" width="9.140625" style="1"/>
    <col min="8959" max="8959" width="6.85546875" style="1" customWidth="1"/>
    <col min="8960" max="8960" width="11.140625" style="1" customWidth="1"/>
    <col min="8961" max="8961" width="8.42578125" style="1" bestFit="1" customWidth="1"/>
    <col min="8962" max="8962" width="12.5703125" style="1" customWidth="1"/>
    <col min="8963" max="8963" width="9.85546875" style="1" bestFit="1" customWidth="1"/>
    <col min="8964" max="8964" width="12.5703125" style="1" customWidth="1"/>
    <col min="8965" max="8965" width="11.42578125" style="1" bestFit="1" customWidth="1"/>
    <col min="8966" max="8966" width="8.42578125" style="1" bestFit="1" customWidth="1"/>
    <col min="8967" max="8967" width="12.5703125" style="1" customWidth="1"/>
    <col min="8968" max="8968" width="8.42578125" style="1" bestFit="1" customWidth="1"/>
    <col min="8969" max="8969" width="12.5703125" style="1" customWidth="1"/>
    <col min="8970" max="8972" width="12.140625" style="1" customWidth="1"/>
    <col min="8973" max="9214" width="9.140625" style="1"/>
    <col min="9215" max="9215" width="6.85546875" style="1" customWidth="1"/>
    <col min="9216" max="9216" width="11.140625" style="1" customWidth="1"/>
    <col min="9217" max="9217" width="8.42578125" style="1" bestFit="1" customWidth="1"/>
    <col min="9218" max="9218" width="12.5703125" style="1" customWidth="1"/>
    <col min="9219" max="9219" width="9.85546875" style="1" bestFit="1" customWidth="1"/>
    <col min="9220" max="9220" width="12.5703125" style="1" customWidth="1"/>
    <col min="9221" max="9221" width="11.42578125" style="1" bestFit="1" customWidth="1"/>
    <col min="9222" max="9222" width="8.42578125" style="1" bestFit="1" customWidth="1"/>
    <col min="9223" max="9223" width="12.5703125" style="1" customWidth="1"/>
    <col min="9224" max="9224" width="8.42578125" style="1" bestFit="1" customWidth="1"/>
    <col min="9225" max="9225" width="12.5703125" style="1" customWidth="1"/>
    <col min="9226" max="9228" width="12.140625" style="1" customWidth="1"/>
    <col min="9229" max="9470" width="9.140625" style="1"/>
    <col min="9471" max="9471" width="6.85546875" style="1" customWidth="1"/>
    <col min="9472" max="9472" width="11.140625" style="1" customWidth="1"/>
    <col min="9473" max="9473" width="8.42578125" style="1" bestFit="1" customWidth="1"/>
    <col min="9474" max="9474" width="12.5703125" style="1" customWidth="1"/>
    <col min="9475" max="9475" width="9.85546875" style="1" bestFit="1" customWidth="1"/>
    <col min="9476" max="9476" width="12.5703125" style="1" customWidth="1"/>
    <col min="9477" max="9477" width="11.42578125" style="1" bestFit="1" customWidth="1"/>
    <col min="9478" max="9478" width="8.42578125" style="1" bestFit="1" customWidth="1"/>
    <col min="9479" max="9479" width="12.5703125" style="1" customWidth="1"/>
    <col min="9480" max="9480" width="8.42578125" style="1" bestFit="1" customWidth="1"/>
    <col min="9481" max="9481" width="12.5703125" style="1" customWidth="1"/>
    <col min="9482" max="9484" width="12.140625" style="1" customWidth="1"/>
    <col min="9485" max="9726" width="9.140625" style="1"/>
    <col min="9727" max="9727" width="6.85546875" style="1" customWidth="1"/>
    <col min="9728" max="9728" width="11.140625" style="1" customWidth="1"/>
    <col min="9729" max="9729" width="8.42578125" style="1" bestFit="1" customWidth="1"/>
    <col min="9730" max="9730" width="12.5703125" style="1" customWidth="1"/>
    <col min="9731" max="9731" width="9.85546875" style="1" bestFit="1" customWidth="1"/>
    <col min="9732" max="9732" width="12.5703125" style="1" customWidth="1"/>
    <col min="9733" max="9733" width="11.42578125" style="1" bestFit="1" customWidth="1"/>
    <col min="9734" max="9734" width="8.42578125" style="1" bestFit="1" customWidth="1"/>
    <col min="9735" max="9735" width="12.5703125" style="1" customWidth="1"/>
    <col min="9736" max="9736" width="8.42578125" style="1" bestFit="1" customWidth="1"/>
    <col min="9737" max="9737" width="12.5703125" style="1" customWidth="1"/>
    <col min="9738" max="9740" width="12.140625" style="1" customWidth="1"/>
    <col min="9741" max="9982" width="9.140625" style="1"/>
    <col min="9983" max="9983" width="6.85546875" style="1" customWidth="1"/>
    <col min="9984" max="9984" width="11.140625" style="1" customWidth="1"/>
    <col min="9985" max="9985" width="8.42578125" style="1" bestFit="1" customWidth="1"/>
    <col min="9986" max="9986" width="12.5703125" style="1" customWidth="1"/>
    <col min="9987" max="9987" width="9.85546875" style="1" bestFit="1" customWidth="1"/>
    <col min="9988" max="9988" width="12.5703125" style="1" customWidth="1"/>
    <col min="9989" max="9989" width="11.42578125" style="1" bestFit="1" customWidth="1"/>
    <col min="9990" max="9990" width="8.42578125" style="1" bestFit="1" customWidth="1"/>
    <col min="9991" max="9991" width="12.5703125" style="1" customWidth="1"/>
    <col min="9992" max="9992" width="8.42578125" style="1" bestFit="1" customWidth="1"/>
    <col min="9993" max="9993" width="12.5703125" style="1" customWidth="1"/>
    <col min="9994" max="9996" width="12.140625" style="1" customWidth="1"/>
    <col min="9997" max="10238" width="9.140625" style="1"/>
    <col min="10239" max="10239" width="6.85546875" style="1" customWidth="1"/>
    <col min="10240" max="10240" width="11.140625" style="1" customWidth="1"/>
    <col min="10241" max="10241" width="8.42578125" style="1" bestFit="1" customWidth="1"/>
    <col min="10242" max="10242" width="12.5703125" style="1" customWidth="1"/>
    <col min="10243" max="10243" width="9.85546875" style="1" bestFit="1" customWidth="1"/>
    <col min="10244" max="10244" width="12.5703125" style="1" customWidth="1"/>
    <col min="10245" max="10245" width="11.42578125" style="1" bestFit="1" customWidth="1"/>
    <col min="10246" max="10246" width="8.42578125" style="1" bestFit="1" customWidth="1"/>
    <col min="10247" max="10247" width="12.5703125" style="1" customWidth="1"/>
    <col min="10248" max="10248" width="8.42578125" style="1" bestFit="1" customWidth="1"/>
    <col min="10249" max="10249" width="12.5703125" style="1" customWidth="1"/>
    <col min="10250" max="10252" width="12.140625" style="1" customWidth="1"/>
    <col min="10253" max="10494" width="9.140625" style="1"/>
    <col min="10495" max="10495" width="6.85546875" style="1" customWidth="1"/>
    <col min="10496" max="10496" width="11.140625" style="1" customWidth="1"/>
    <col min="10497" max="10497" width="8.42578125" style="1" bestFit="1" customWidth="1"/>
    <col min="10498" max="10498" width="12.5703125" style="1" customWidth="1"/>
    <col min="10499" max="10499" width="9.85546875" style="1" bestFit="1" customWidth="1"/>
    <col min="10500" max="10500" width="12.5703125" style="1" customWidth="1"/>
    <col min="10501" max="10501" width="11.42578125" style="1" bestFit="1" customWidth="1"/>
    <col min="10502" max="10502" width="8.42578125" style="1" bestFit="1" customWidth="1"/>
    <col min="10503" max="10503" width="12.5703125" style="1" customWidth="1"/>
    <col min="10504" max="10504" width="8.42578125" style="1" bestFit="1" customWidth="1"/>
    <col min="10505" max="10505" width="12.5703125" style="1" customWidth="1"/>
    <col min="10506" max="10508" width="12.140625" style="1" customWidth="1"/>
    <col min="10509" max="10750" width="9.140625" style="1"/>
    <col min="10751" max="10751" width="6.85546875" style="1" customWidth="1"/>
    <col min="10752" max="10752" width="11.140625" style="1" customWidth="1"/>
    <col min="10753" max="10753" width="8.42578125" style="1" bestFit="1" customWidth="1"/>
    <col min="10754" max="10754" width="12.5703125" style="1" customWidth="1"/>
    <col min="10755" max="10755" width="9.85546875" style="1" bestFit="1" customWidth="1"/>
    <col min="10756" max="10756" width="12.5703125" style="1" customWidth="1"/>
    <col min="10757" max="10757" width="11.42578125" style="1" bestFit="1" customWidth="1"/>
    <col min="10758" max="10758" width="8.42578125" style="1" bestFit="1" customWidth="1"/>
    <col min="10759" max="10759" width="12.5703125" style="1" customWidth="1"/>
    <col min="10760" max="10760" width="8.42578125" style="1" bestFit="1" customWidth="1"/>
    <col min="10761" max="10761" width="12.5703125" style="1" customWidth="1"/>
    <col min="10762" max="10764" width="12.140625" style="1" customWidth="1"/>
    <col min="10765" max="11006" width="9.140625" style="1"/>
    <col min="11007" max="11007" width="6.85546875" style="1" customWidth="1"/>
    <col min="11008" max="11008" width="11.140625" style="1" customWidth="1"/>
    <col min="11009" max="11009" width="8.42578125" style="1" bestFit="1" customWidth="1"/>
    <col min="11010" max="11010" width="12.5703125" style="1" customWidth="1"/>
    <col min="11011" max="11011" width="9.85546875" style="1" bestFit="1" customWidth="1"/>
    <col min="11012" max="11012" width="12.5703125" style="1" customWidth="1"/>
    <col min="11013" max="11013" width="11.42578125" style="1" bestFit="1" customWidth="1"/>
    <col min="11014" max="11014" width="8.42578125" style="1" bestFit="1" customWidth="1"/>
    <col min="11015" max="11015" width="12.5703125" style="1" customWidth="1"/>
    <col min="11016" max="11016" width="8.42578125" style="1" bestFit="1" customWidth="1"/>
    <col min="11017" max="11017" width="12.5703125" style="1" customWidth="1"/>
    <col min="11018" max="11020" width="12.140625" style="1" customWidth="1"/>
    <col min="11021" max="11262" width="9.140625" style="1"/>
    <col min="11263" max="11263" width="6.85546875" style="1" customWidth="1"/>
    <col min="11264" max="11264" width="11.140625" style="1" customWidth="1"/>
    <col min="11265" max="11265" width="8.42578125" style="1" bestFit="1" customWidth="1"/>
    <col min="11266" max="11266" width="12.5703125" style="1" customWidth="1"/>
    <col min="11267" max="11267" width="9.85546875" style="1" bestFit="1" customWidth="1"/>
    <col min="11268" max="11268" width="12.5703125" style="1" customWidth="1"/>
    <col min="11269" max="11269" width="11.42578125" style="1" bestFit="1" customWidth="1"/>
    <col min="11270" max="11270" width="8.42578125" style="1" bestFit="1" customWidth="1"/>
    <col min="11271" max="11271" width="12.5703125" style="1" customWidth="1"/>
    <col min="11272" max="11272" width="8.42578125" style="1" bestFit="1" customWidth="1"/>
    <col min="11273" max="11273" width="12.5703125" style="1" customWidth="1"/>
    <col min="11274" max="11276" width="12.140625" style="1" customWidth="1"/>
    <col min="11277" max="11518" width="9.140625" style="1"/>
    <col min="11519" max="11519" width="6.85546875" style="1" customWidth="1"/>
    <col min="11520" max="11520" width="11.140625" style="1" customWidth="1"/>
    <col min="11521" max="11521" width="8.42578125" style="1" bestFit="1" customWidth="1"/>
    <col min="11522" max="11522" width="12.5703125" style="1" customWidth="1"/>
    <col min="11523" max="11523" width="9.85546875" style="1" bestFit="1" customWidth="1"/>
    <col min="11524" max="11524" width="12.5703125" style="1" customWidth="1"/>
    <col min="11525" max="11525" width="11.42578125" style="1" bestFit="1" customWidth="1"/>
    <col min="11526" max="11526" width="8.42578125" style="1" bestFit="1" customWidth="1"/>
    <col min="11527" max="11527" width="12.5703125" style="1" customWidth="1"/>
    <col min="11528" max="11528" width="8.42578125" style="1" bestFit="1" customWidth="1"/>
    <col min="11529" max="11529" width="12.5703125" style="1" customWidth="1"/>
    <col min="11530" max="11532" width="12.140625" style="1" customWidth="1"/>
    <col min="11533" max="11774" width="9.140625" style="1"/>
    <col min="11775" max="11775" width="6.85546875" style="1" customWidth="1"/>
    <col min="11776" max="11776" width="11.140625" style="1" customWidth="1"/>
    <col min="11777" max="11777" width="8.42578125" style="1" bestFit="1" customWidth="1"/>
    <col min="11778" max="11778" width="12.5703125" style="1" customWidth="1"/>
    <col min="11779" max="11779" width="9.85546875" style="1" bestFit="1" customWidth="1"/>
    <col min="11780" max="11780" width="12.5703125" style="1" customWidth="1"/>
    <col min="11781" max="11781" width="11.42578125" style="1" bestFit="1" customWidth="1"/>
    <col min="11782" max="11782" width="8.42578125" style="1" bestFit="1" customWidth="1"/>
    <col min="11783" max="11783" width="12.5703125" style="1" customWidth="1"/>
    <col min="11784" max="11784" width="8.42578125" style="1" bestFit="1" customWidth="1"/>
    <col min="11785" max="11785" width="12.5703125" style="1" customWidth="1"/>
    <col min="11786" max="11788" width="12.140625" style="1" customWidth="1"/>
    <col min="11789" max="12030" width="9.140625" style="1"/>
    <col min="12031" max="12031" width="6.85546875" style="1" customWidth="1"/>
    <col min="12032" max="12032" width="11.140625" style="1" customWidth="1"/>
    <col min="12033" max="12033" width="8.42578125" style="1" bestFit="1" customWidth="1"/>
    <col min="12034" max="12034" width="12.5703125" style="1" customWidth="1"/>
    <col min="12035" max="12035" width="9.85546875" style="1" bestFit="1" customWidth="1"/>
    <col min="12036" max="12036" width="12.5703125" style="1" customWidth="1"/>
    <col min="12037" max="12037" width="11.42578125" style="1" bestFit="1" customWidth="1"/>
    <col min="12038" max="12038" width="8.42578125" style="1" bestFit="1" customWidth="1"/>
    <col min="12039" max="12039" width="12.5703125" style="1" customWidth="1"/>
    <col min="12040" max="12040" width="8.42578125" style="1" bestFit="1" customWidth="1"/>
    <col min="12041" max="12041" width="12.5703125" style="1" customWidth="1"/>
    <col min="12042" max="12044" width="12.140625" style="1" customWidth="1"/>
    <col min="12045" max="12286" width="9.140625" style="1"/>
    <col min="12287" max="12287" width="6.85546875" style="1" customWidth="1"/>
    <col min="12288" max="12288" width="11.140625" style="1" customWidth="1"/>
    <col min="12289" max="12289" width="8.42578125" style="1" bestFit="1" customWidth="1"/>
    <col min="12290" max="12290" width="12.5703125" style="1" customWidth="1"/>
    <col min="12291" max="12291" width="9.85546875" style="1" bestFit="1" customWidth="1"/>
    <col min="12292" max="12292" width="12.5703125" style="1" customWidth="1"/>
    <col min="12293" max="12293" width="11.42578125" style="1" bestFit="1" customWidth="1"/>
    <col min="12294" max="12294" width="8.42578125" style="1" bestFit="1" customWidth="1"/>
    <col min="12295" max="12295" width="12.5703125" style="1" customWidth="1"/>
    <col min="12296" max="12296" width="8.42578125" style="1" bestFit="1" customWidth="1"/>
    <col min="12297" max="12297" width="12.5703125" style="1" customWidth="1"/>
    <col min="12298" max="12300" width="12.140625" style="1" customWidth="1"/>
    <col min="12301" max="12542" width="9.140625" style="1"/>
    <col min="12543" max="12543" width="6.85546875" style="1" customWidth="1"/>
    <col min="12544" max="12544" width="11.140625" style="1" customWidth="1"/>
    <col min="12545" max="12545" width="8.42578125" style="1" bestFit="1" customWidth="1"/>
    <col min="12546" max="12546" width="12.5703125" style="1" customWidth="1"/>
    <col min="12547" max="12547" width="9.85546875" style="1" bestFit="1" customWidth="1"/>
    <col min="12548" max="12548" width="12.5703125" style="1" customWidth="1"/>
    <col min="12549" max="12549" width="11.42578125" style="1" bestFit="1" customWidth="1"/>
    <col min="12550" max="12550" width="8.42578125" style="1" bestFit="1" customWidth="1"/>
    <col min="12551" max="12551" width="12.5703125" style="1" customWidth="1"/>
    <col min="12552" max="12552" width="8.42578125" style="1" bestFit="1" customWidth="1"/>
    <col min="12553" max="12553" width="12.5703125" style="1" customWidth="1"/>
    <col min="12554" max="12556" width="12.140625" style="1" customWidth="1"/>
    <col min="12557" max="12798" width="9.140625" style="1"/>
    <col min="12799" max="12799" width="6.85546875" style="1" customWidth="1"/>
    <col min="12800" max="12800" width="11.140625" style="1" customWidth="1"/>
    <col min="12801" max="12801" width="8.42578125" style="1" bestFit="1" customWidth="1"/>
    <col min="12802" max="12802" width="12.5703125" style="1" customWidth="1"/>
    <col min="12803" max="12803" width="9.85546875" style="1" bestFit="1" customWidth="1"/>
    <col min="12804" max="12804" width="12.5703125" style="1" customWidth="1"/>
    <col min="12805" max="12805" width="11.42578125" style="1" bestFit="1" customWidth="1"/>
    <col min="12806" max="12806" width="8.42578125" style="1" bestFit="1" customWidth="1"/>
    <col min="12807" max="12807" width="12.5703125" style="1" customWidth="1"/>
    <col min="12808" max="12808" width="8.42578125" style="1" bestFit="1" customWidth="1"/>
    <col min="12809" max="12809" width="12.5703125" style="1" customWidth="1"/>
    <col min="12810" max="12812" width="12.140625" style="1" customWidth="1"/>
    <col min="12813" max="13054" width="9.140625" style="1"/>
    <col min="13055" max="13055" width="6.85546875" style="1" customWidth="1"/>
    <col min="13056" max="13056" width="11.140625" style="1" customWidth="1"/>
    <col min="13057" max="13057" width="8.42578125" style="1" bestFit="1" customWidth="1"/>
    <col min="13058" max="13058" width="12.5703125" style="1" customWidth="1"/>
    <col min="13059" max="13059" width="9.85546875" style="1" bestFit="1" customWidth="1"/>
    <col min="13060" max="13060" width="12.5703125" style="1" customWidth="1"/>
    <col min="13061" max="13061" width="11.42578125" style="1" bestFit="1" customWidth="1"/>
    <col min="13062" max="13062" width="8.42578125" style="1" bestFit="1" customWidth="1"/>
    <col min="13063" max="13063" width="12.5703125" style="1" customWidth="1"/>
    <col min="13064" max="13064" width="8.42578125" style="1" bestFit="1" customWidth="1"/>
    <col min="13065" max="13065" width="12.5703125" style="1" customWidth="1"/>
    <col min="13066" max="13068" width="12.140625" style="1" customWidth="1"/>
    <col min="13069" max="13310" width="9.140625" style="1"/>
    <col min="13311" max="13311" width="6.85546875" style="1" customWidth="1"/>
    <col min="13312" max="13312" width="11.140625" style="1" customWidth="1"/>
    <col min="13313" max="13313" width="8.42578125" style="1" bestFit="1" customWidth="1"/>
    <col min="13314" max="13314" width="12.5703125" style="1" customWidth="1"/>
    <col min="13315" max="13315" width="9.85546875" style="1" bestFit="1" customWidth="1"/>
    <col min="13316" max="13316" width="12.5703125" style="1" customWidth="1"/>
    <col min="13317" max="13317" width="11.42578125" style="1" bestFit="1" customWidth="1"/>
    <col min="13318" max="13318" width="8.42578125" style="1" bestFit="1" customWidth="1"/>
    <col min="13319" max="13319" width="12.5703125" style="1" customWidth="1"/>
    <col min="13320" max="13320" width="8.42578125" style="1" bestFit="1" customWidth="1"/>
    <col min="13321" max="13321" width="12.5703125" style="1" customWidth="1"/>
    <col min="13322" max="13324" width="12.140625" style="1" customWidth="1"/>
    <col min="13325" max="13566" width="9.140625" style="1"/>
    <col min="13567" max="13567" width="6.85546875" style="1" customWidth="1"/>
    <col min="13568" max="13568" width="11.140625" style="1" customWidth="1"/>
    <col min="13569" max="13569" width="8.42578125" style="1" bestFit="1" customWidth="1"/>
    <col min="13570" max="13570" width="12.5703125" style="1" customWidth="1"/>
    <col min="13571" max="13571" width="9.85546875" style="1" bestFit="1" customWidth="1"/>
    <col min="13572" max="13572" width="12.5703125" style="1" customWidth="1"/>
    <col min="13573" max="13573" width="11.42578125" style="1" bestFit="1" customWidth="1"/>
    <col min="13574" max="13574" width="8.42578125" style="1" bestFit="1" customWidth="1"/>
    <col min="13575" max="13575" width="12.5703125" style="1" customWidth="1"/>
    <col min="13576" max="13576" width="8.42578125" style="1" bestFit="1" customWidth="1"/>
    <col min="13577" max="13577" width="12.5703125" style="1" customWidth="1"/>
    <col min="13578" max="13580" width="12.140625" style="1" customWidth="1"/>
    <col min="13581" max="13822" width="9.140625" style="1"/>
    <col min="13823" max="13823" width="6.85546875" style="1" customWidth="1"/>
    <col min="13824" max="13824" width="11.140625" style="1" customWidth="1"/>
    <col min="13825" max="13825" width="8.42578125" style="1" bestFit="1" customWidth="1"/>
    <col min="13826" max="13826" width="12.5703125" style="1" customWidth="1"/>
    <col min="13827" max="13827" width="9.85546875" style="1" bestFit="1" customWidth="1"/>
    <col min="13828" max="13828" width="12.5703125" style="1" customWidth="1"/>
    <col min="13829" max="13829" width="11.42578125" style="1" bestFit="1" customWidth="1"/>
    <col min="13830" max="13830" width="8.42578125" style="1" bestFit="1" customWidth="1"/>
    <col min="13831" max="13831" width="12.5703125" style="1" customWidth="1"/>
    <col min="13832" max="13832" width="8.42578125" style="1" bestFit="1" customWidth="1"/>
    <col min="13833" max="13833" width="12.5703125" style="1" customWidth="1"/>
    <col min="13834" max="13836" width="12.140625" style="1" customWidth="1"/>
    <col min="13837" max="14078" width="9.140625" style="1"/>
    <col min="14079" max="14079" width="6.85546875" style="1" customWidth="1"/>
    <col min="14080" max="14080" width="11.140625" style="1" customWidth="1"/>
    <col min="14081" max="14081" width="8.42578125" style="1" bestFit="1" customWidth="1"/>
    <col min="14082" max="14082" width="12.5703125" style="1" customWidth="1"/>
    <col min="14083" max="14083" width="9.85546875" style="1" bestFit="1" customWidth="1"/>
    <col min="14084" max="14084" width="12.5703125" style="1" customWidth="1"/>
    <col min="14085" max="14085" width="11.42578125" style="1" bestFit="1" customWidth="1"/>
    <col min="14086" max="14086" width="8.42578125" style="1" bestFit="1" customWidth="1"/>
    <col min="14087" max="14087" width="12.5703125" style="1" customWidth="1"/>
    <col min="14088" max="14088" width="8.42578125" style="1" bestFit="1" customWidth="1"/>
    <col min="14089" max="14089" width="12.5703125" style="1" customWidth="1"/>
    <col min="14090" max="14092" width="12.140625" style="1" customWidth="1"/>
    <col min="14093" max="14334" width="9.140625" style="1"/>
    <col min="14335" max="14335" width="6.85546875" style="1" customWidth="1"/>
    <col min="14336" max="14336" width="11.140625" style="1" customWidth="1"/>
    <col min="14337" max="14337" width="8.42578125" style="1" bestFit="1" customWidth="1"/>
    <col min="14338" max="14338" width="12.5703125" style="1" customWidth="1"/>
    <col min="14339" max="14339" width="9.85546875" style="1" bestFit="1" customWidth="1"/>
    <col min="14340" max="14340" width="12.5703125" style="1" customWidth="1"/>
    <col min="14341" max="14341" width="11.42578125" style="1" bestFit="1" customWidth="1"/>
    <col min="14342" max="14342" width="8.42578125" style="1" bestFit="1" customWidth="1"/>
    <col min="14343" max="14343" width="12.5703125" style="1" customWidth="1"/>
    <col min="14344" max="14344" width="8.42578125" style="1" bestFit="1" customWidth="1"/>
    <col min="14345" max="14345" width="12.5703125" style="1" customWidth="1"/>
    <col min="14346" max="14348" width="12.140625" style="1" customWidth="1"/>
    <col min="14349" max="14590" width="9.140625" style="1"/>
    <col min="14591" max="14591" width="6.85546875" style="1" customWidth="1"/>
    <col min="14592" max="14592" width="11.140625" style="1" customWidth="1"/>
    <col min="14593" max="14593" width="8.42578125" style="1" bestFit="1" customWidth="1"/>
    <col min="14594" max="14594" width="12.5703125" style="1" customWidth="1"/>
    <col min="14595" max="14595" width="9.85546875" style="1" bestFit="1" customWidth="1"/>
    <col min="14596" max="14596" width="12.5703125" style="1" customWidth="1"/>
    <col min="14597" max="14597" width="11.42578125" style="1" bestFit="1" customWidth="1"/>
    <col min="14598" max="14598" width="8.42578125" style="1" bestFit="1" customWidth="1"/>
    <col min="14599" max="14599" width="12.5703125" style="1" customWidth="1"/>
    <col min="14600" max="14600" width="8.42578125" style="1" bestFit="1" customWidth="1"/>
    <col min="14601" max="14601" width="12.5703125" style="1" customWidth="1"/>
    <col min="14602" max="14604" width="12.140625" style="1" customWidth="1"/>
    <col min="14605" max="14846" width="9.140625" style="1"/>
    <col min="14847" max="14847" width="6.85546875" style="1" customWidth="1"/>
    <col min="14848" max="14848" width="11.140625" style="1" customWidth="1"/>
    <col min="14849" max="14849" width="8.42578125" style="1" bestFit="1" customWidth="1"/>
    <col min="14850" max="14850" width="12.5703125" style="1" customWidth="1"/>
    <col min="14851" max="14851" width="9.85546875" style="1" bestFit="1" customWidth="1"/>
    <col min="14852" max="14852" width="12.5703125" style="1" customWidth="1"/>
    <col min="14853" max="14853" width="11.42578125" style="1" bestFit="1" customWidth="1"/>
    <col min="14854" max="14854" width="8.42578125" style="1" bestFit="1" customWidth="1"/>
    <col min="14855" max="14855" width="12.5703125" style="1" customWidth="1"/>
    <col min="14856" max="14856" width="8.42578125" style="1" bestFit="1" customWidth="1"/>
    <col min="14857" max="14857" width="12.5703125" style="1" customWidth="1"/>
    <col min="14858" max="14860" width="12.140625" style="1" customWidth="1"/>
    <col min="14861" max="15102" width="9.140625" style="1"/>
    <col min="15103" max="15103" width="6.85546875" style="1" customWidth="1"/>
    <col min="15104" max="15104" width="11.140625" style="1" customWidth="1"/>
    <col min="15105" max="15105" width="8.42578125" style="1" bestFit="1" customWidth="1"/>
    <col min="15106" max="15106" width="12.5703125" style="1" customWidth="1"/>
    <col min="15107" max="15107" width="9.85546875" style="1" bestFit="1" customWidth="1"/>
    <col min="15108" max="15108" width="12.5703125" style="1" customWidth="1"/>
    <col min="15109" max="15109" width="11.42578125" style="1" bestFit="1" customWidth="1"/>
    <col min="15110" max="15110" width="8.42578125" style="1" bestFit="1" customWidth="1"/>
    <col min="15111" max="15111" width="12.5703125" style="1" customWidth="1"/>
    <col min="15112" max="15112" width="8.42578125" style="1" bestFit="1" customWidth="1"/>
    <col min="15113" max="15113" width="12.5703125" style="1" customWidth="1"/>
    <col min="15114" max="15116" width="12.140625" style="1" customWidth="1"/>
    <col min="15117" max="15358" width="9.140625" style="1"/>
    <col min="15359" max="15359" width="6.85546875" style="1" customWidth="1"/>
    <col min="15360" max="15360" width="11.140625" style="1" customWidth="1"/>
    <col min="15361" max="15361" width="8.42578125" style="1" bestFit="1" customWidth="1"/>
    <col min="15362" max="15362" width="12.5703125" style="1" customWidth="1"/>
    <col min="15363" max="15363" width="9.85546875" style="1" bestFit="1" customWidth="1"/>
    <col min="15364" max="15364" width="12.5703125" style="1" customWidth="1"/>
    <col min="15365" max="15365" width="11.42578125" style="1" bestFit="1" customWidth="1"/>
    <col min="15366" max="15366" width="8.42578125" style="1" bestFit="1" customWidth="1"/>
    <col min="15367" max="15367" width="12.5703125" style="1" customWidth="1"/>
    <col min="15368" max="15368" width="8.42578125" style="1" bestFit="1" customWidth="1"/>
    <col min="15369" max="15369" width="12.5703125" style="1" customWidth="1"/>
    <col min="15370" max="15372" width="12.140625" style="1" customWidth="1"/>
    <col min="15373" max="15614" width="9.140625" style="1"/>
    <col min="15615" max="15615" width="6.85546875" style="1" customWidth="1"/>
    <col min="15616" max="15616" width="11.140625" style="1" customWidth="1"/>
    <col min="15617" max="15617" width="8.42578125" style="1" bestFit="1" customWidth="1"/>
    <col min="15618" max="15618" width="12.5703125" style="1" customWidth="1"/>
    <col min="15619" max="15619" width="9.85546875" style="1" bestFit="1" customWidth="1"/>
    <col min="15620" max="15620" width="12.5703125" style="1" customWidth="1"/>
    <col min="15621" max="15621" width="11.42578125" style="1" bestFit="1" customWidth="1"/>
    <col min="15622" max="15622" width="8.42578125" style="1" bestFit="1" customWidth="1"/>
    <col min="15623" max="15623" width="12.5703125" style="1" customWidth="1"/>
    <col min="15624" max="15624" width="8.42578125" style="1" bestFit="1" customWidth="1"/>
    <col min="15625" max="15625" width="12.5703125" style="1" customWidth="1"/>
    <col min="15626" max="15628" width="12.140625" style="1" customWidth="1"/>
    <col min="15629" max="15870" width="9.140625" style="1"/>
    <col min="15871" max="15871" width="6.85546875" style="1" customWidth="1"/>
    <col min="15872" max="15872" width="11.140625" style="1" customWidth="1"/>
    <col min="15873" max="15873" width="8.42578125" style="1" bestFit="1" customWidth="1"/>
    <col min="15874" max="15874" width="12.5703125" style="1" customWidth="1"/>
    <col min="15875" max="15875" width="9.85546875" style="1" bestFit="1" customWidth="1"/>
    <col min="15876" max="15876" width="12.5703125" style="1" customWidth="1"/>
    <col min="15877" max="15877" width="11.42578125" style="1" bestFit="1" customWidth="1"/>
    <col min="15878" max="15878" width="8.42578125" style="1" bestFit="1" customWidth="1"/>
    <col min="15879" max="15879" width="12.5703125" style="1" customWidth="1"/>
    <col min="15880" max="15880" width="8.42578125" style="1" bestFit="1" customWidth="1"/>
    <col min="15881" max="15881" width="12.5703125" style="1" customWidth="1"/>
    <col min="15882" max="15884" width="12.140625" style="1" customWidth="1"/>
    <col min="15885" max="16126" width="9.140625" style="1"/>
    <col min="16127" max="16127" width="6.85546875" style="1" customWidth="1"/>
    <col min="16128" max="16128" width="11.140625" style="1" customWidth="1"/>
    <col min="16129" max="16129" width="8.42578125" style="1" bestFit="1" customWidth="1"/>
    <col min="16130" max="16130" width="12.5703125" style="1" customWidth="1"/>
    <col min="16131" max="16131" width="9.85546875" style="1" bestFit="1" customWidth="1"/>
    <col min="16132" max="16132" width="12.5703125" style="1" customWidth="1"/>
    <col min="16133" max="16133" width="11.42578125" style="1" bestFit="1" customWidth="1"/>
    <col min="16134" max="16134" width="8.42578125" style="1" bestFit="1" customWidth="1"/>
    <col min="16135" max="16135" width="12.5703125" style="1" customWidth="1"/>
    <col min="16136" max="16136" width="8.42578125" style="1" bestFit="1" customWidth="1"/>
    <col min="16137" max="16137" width="12.5703125" style="1" customWidth="1"/>
    <col min="16138" max="16140" width="12.140625" style="1" customWidth="1"/>
    <col min="16141" max="16384" width="9.140625" style="1"/>
  </cols>
  <sheetData>
    <row r="1" spans="1:28" ht="15.75" customHeight="1">
      <c r="O1" s="1427" t="s">
        <v>874</v>
      </c>
      <c r="P1" s="1427"/>
    </row>
    <row r="2" spans="1:28" ht="44.25" customHeight="1">
      <c r="A2" s="1428" t="s">
        <v>1308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</row>
    <row r="3" spans="1:28" ht="10.5" customHeight="1">
      <c r="A3" s="1407"/>
      <c r="B3" s="1407"/>
      <c r="C3" s="1407"/>
      <c r="D3" s="1407"/>
      <c r="E3" s="1407"/>
      <c r="F3" s="1407"/>
      <c r="G3" s="1407"/>
      <c r="H3" s="1407"/>
      <c r="I3" s="1407"/>
      <c r="J3" s="1407"/>
      <c r="K3" s="1407"/>
    </row>
    <row r="4" spans="1:28" s="188" customFormat="1" ht="22.5" customHeight="1">
      <c r="A4" s="183" t="s">
        <v>1298</v>
      </c>
      <c r="B4" s="183"/>
      <c r="C4" s="183"/>
      <c r="D4" s="183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R4" s="657"/>
      <c r="S4" s="657"/>
      <c r="T4" s="657"/>
      <c r="W4" s="658"/>
      <c r="X4" s="658"/>
      <c r="Y4" s="658"/>
      <c r="Z4" s="658"/>
      <c r="AA4" s="658"/>
    </row>
    <row r="5" spans="1:28" s="188" customFormat="1" ht="21.75" customHeight="1">
      <c r="A5" s="183"/>
      <c r="B5" s="203"/>
      <c r="C5" s="205"/>
      <c r="D5" s="205"/>
      <c r="E5" s="205"/>
      <c r="F5" s="205"/>
      <c r="G5" s="205"/>
      <c r="H5" s="205"/>
      <c r="I5" s="205"/>
      <c r="J5" s="205"/>
      <c r="K5" s="205"/>
      <c r="L5" s="186"/>
      <c r="M5" s="186"/>
      <c r="N5" s="186"/>
      <c r="O5" s="1409" t="s">
        <v>995</v>
      </c>
      <c r="P5" s="1409"/>
      <c r="R5" s="657"/>
      <c r="S5" s="657"/>
      <c r="T5" s="657"/>
      <c r="W5" s="658"/>
      <c r="X5" s="658"/>
      <c r="Y5" s="658"/>
      <c r="Z5" s="658"/>
      <c r="AA5" s="658"/>
    </row>
    <row r="6" spans="1:28" s="192" customFormat="1" ht="24.95" customHeight="1">
      <c r="A6" s="1429" t="s">
        <v>863</v>
      </c>
      <c r="B6" s="1429"/>
      <c r="C6" s="1429"/>
      <c r="D6" s="1429"/>
      <c r="E6" s="1429"/>
      <c r="F6" s="1429"/>
      <c r="G6" s="1429"/>
      <c r="H6" s="1429"/>
      <c r="I6" s="1429"/>
      <c r="J6" s="1429"/>
      <c r="K6" s="1429"/>
      <c r="L6" s="1429"/>
      <c r="M6" s="1429"/>
      <c r="N6" s="1429"/>
      <c r="O6" s="1429"/>
      <c r="P6" s="1429"/>
      <c r="R6" s="659"/>
      <c r="S6" s="659"/>
      <c r="T6" s="659"/>
      <c r="W6" s="660"/>
      <c r="X6" s="660"/>
      <c r="Y6" s="660"/>
      <c r="Z6" s="660"/>
      <c r="AA6" s="660"/>
    </row>
    <row r="7" spans="1:28" s="21" customFormat="1" ht="24.95" customHeight="1">
      <c r="A7" s="1418" t="s">
        <v>862</v>
      </c>
      <c r="B7" s="1421" t="s">
        <v>1111</v>
      </c>
      <c r="C7" s="1422"/>
      <c r="D7" s="1422"/>
      <c r="E7" s="1422"/>
      <c r="F7" s="1423"/>
      <c r="G7" s="1421" t="s">
        <v>1100</v>
      </c>
      <c r="H7" s="1422"/>
      <c r="I7" s="1422"/>
      <c r="J7" s="1422"/>
      <c r="K7" s="1423"/>
      <c r="L7" s="1424" t="s">
        <v>1094</v>
      </c>
      <c r="M7" s="1425"/>
      <c r="N7" s="1425"/>
      <c r="O7" s="1425"/>
      <c r="P7" s="1426"/>
      <c r="R7" s="661"/>
      <c r="S7" s="661"/>
      <c r="T7" s="661"/>
      <c r="W7" s="662"/>
      <c r="X7" s="662"/>
      <c r="Y7" s="662"/>
      <c r="Z7" s="662"/>
      <c r="AA7" s="662"/>
    </row>
    <row r="8" spans="1:28" s="198" customFormat="1" ht="24.95" customHeight="1">
      <c r="A8" s="1419"/>
      <c r="B8" s="1416" t="s">
        <v>869</v>
      </c>
      <c r="C8" s="1411" t="s">
        <v>134</v>
      </c>
      <c r="D8" s="1411"/>
      <c r="E8" s="1412" t="s">
        <v>135</v>
      </c>
      <c r="F8" s="1413"/>
      <c r="G8" s="1416" t="s">
        <v>869</v>
      </c>
      <c r="H8" s="1411" t="s">
        <v>134</v>
      </c>
      <c r="I8" s="1411"/>
      <c r="J8" s="1412" t="s">
        <v>135</v>
      </c>
      <c r="K8" s="1413"/>
      <c r="L8" s="1416" t="s">
        <v>869</v>
      </c>
      <c r="M8" s="1411" t="s">
        <v>134</v>
      </c>
      <c r="N8" s="1411"/>
      <c r="O8" s="1412" t="s">
        <v>135</v>
      </c>
      <c r="P8" s="1413"/>
      <c r="R8" s="663"/>
      <c r="S8" s="663"/>
      <c r="T8" s="663"/>
      <c r="W8" s="664"/>
      <c r="X8" s="664"/>
      <c r="Y8" s="664"/>
      <c r="Z8" s="664"/>
      <c r="AA8" s="664"/>
    </row>
    <row r="9" spans="1:28" s="21" customFormat="1" ht="74.25" customHeight="1">
      <c r="A9" s="1420"/>
      <c r="B9" s="1417"/>
      <c r="C9" s="199" t="s">
        <v>153</v>
      </c>
      <c r="D9" s="665" t="s">
        <v>868</v>
      </c>
      <c r="E9" s="199" t="s">
        <v>153</v>
      </c>
      <c r="F9" s="665" t="s">
        <v>868</v>
      </c>
      <c r="G9" s="1417"/>
      <c r="H9" s="199" t="s">
        <v>153</v>
      </c>
      <c r="I9" s="665" t="s">
        <v>868</v>
      </c>
      <c r="J9" s="199" t="s">
        <v>153</v>
      </c>
      <c r="K9" s="665" t="s">
        <v>868</v>
      </c>
      <c r="L9" s="1417"/>
      <c r="M9" s="199" t="s">
        <v>153</v>
      </c>
      <c r="N9" s="665" t="s">
        <v>868</v>
      </c>
      <c r="O9" s="199" t="s">
        <v>153</v>
      </c>
      <c r="P9" s="666" t="s">
        <v>868</v>
      </c>
      <c r="R9" s="661"/>
      <c r="S9" s="661" t="s">
        <v>138</v>
      </c>
      <c r="T9" s="661" t="s">
        <v>1309</v>
      </c>
      <c r="W9" s="1414" t="s">
        <v>1310</v>
      </c>
      <c r="X9" s="1414"/>
      <c r="Y9" s="1414"/>
      <c r="Z9" s="1414" t="s">
        <v>1311</v>
      </c>
      <c r="AA9" s="1414"/>
      <c r="AB9" s="1414"/>
    </row>
    <row r="10" spans="1:28" s="7" customFormat="1" ht="24.95" customHeight="1">
      <c r="A10" s="667">
        <v>22</v>
      </c>
      <c r="B10" s="668">
        <v>1</v>
      </c>
      <c r="C10" s="669">
        <v>1</v>
      </c>
      <c r="D10" s="670">
        <v>6.88896</v>
      </c>
      <c r="E10" s="671"/>
      <c r="F10" s="672"/>
      <c r="G10" s="668">
        <v>1</v>
      </c>
      <c r="H10" s="669">
        <v>1</v>
      </c>
      <c r="I10" s="673">
        <f>+X10/1000000</f>
        <v>7.0948799999999999</v>
      </c>
      <c r="J10" s="669">
        <f>SUM(G10-H10)</f>
        <v>0</v>
      </c>
      <c r="K10" s="674">
        <f>+Y10/1000000</f>
        <v>0</v>
      </c>
      <c r="L10" s="668">
        <v>1</v>
      </c>
      <c r="M10" s="669">
        <v>1</v>
      </c>
      <c r="N10" s="675">
        <f>SUM(Z10/1000000)</f>
        <v>7.0948799999999999</v>
      </c>
      <c r="O10" s="669">
        <f>SUM(L10-M10)</f>
        <v>0</v>
      </c>
      <c r="P10" s="674">
        <f>+K10</f>
        <v>0</v>
      </c>
      <c r="R10" s="676">
        <f>+S10</f>
        <v>6888960</v>
      </c>
      <c r="S10" s="676">
        <v>6888960</v>
      </c>
      <c r="T10" s="676">
        <f>+S10</f>
        <v>6888960</v>
      </c>
      <c r="U10" s="677">
        <f>SUM(S10-T10)</f>
        <v>0</v>
      </c>
      <c r="W10" s="678">
        <f>+X10</f>
        <v>7094880</v>
      </c>
      <c r="X10" s="678">
        <v>7094880</v>
      </c>
      <c r="Y10" s="678">
        <f>SUM(W10-X10)</f>
        <v>0</v>
      </c>
      <c r="Z10" s="678">
        <v>7094880</v>
      </c>
      <c r="AA10" s="678"/>
    </row>
    <row r="11" spans="1:28" s="7" customFormat="1" ht="24.95" customHeight="1">
      <c r="A11" s="679">
        <v>21</v>
      </c>
      <c r="B11" s="680"/>
      <c r="C11" s="671"/>
      <c r="D11" s="681"/>
      <c r="E11" s="671"/>
      <c r="F11" s="672"/>
      <c r="G11" s="680"/>
      <c r="H11" s="671"/>
      <c r="I11" s="682"/>
      <c r="J11" s="671"/>
      <c r="K11" s="683"/>
      <c r="L11" s="680"/>
      <c r="M11" s="671"/>
      <c r="N11" s="682"/>
      <c r="O11" s="671"/>
      <c r="P11" s="674">
        <f t="shared" ref="P11:P15" si="0">+K11</f>
        <v>0</v>
      </c>
      <c r="R11" s="676"/>
      <c r="S11" s="676"/>
      <c r="T11" s="676"/>
      <c r="U11" s="677">
        <f t="shared" ref="U11:U35" si="1">SUM(S11-T11)</f>
        <v>0</v>
      </c>
      <c r="W11" s="678"/>
      <c r="X11" s="678"/>
      <c r="Y11" s="678">
        <f t="shared" ref="Y11:Y32" si="2">SUM(W11-X11)</f>
        <v>0</v>
      </c>
      <c r="Z11" s="678"/>
      <c r="AA11" s="678"/>
    </row>
    <row r="12" spans="1:28" s="7" customFormat="1" ht="24.95" customHeight="1">
      <c r="A12" s="679">
        <v>20</v>
      </c>
      <c r="B12" s="680">
        <v>13</v>
      </c>
      <c r="C12" s="671">
        <v>4</v>
      </c>
      <c r="D12" s="681">
        <v>9.1117319999999999</v>
      </c>
      <c r="E12" s="671">
        <v>9</v>
      </c>
      <c r="F12" s="672">
        <v>13.738452000000001</v>
      </c>
      <c r="G12" s="680">
        <v>13</v>
      </c>
      <c r="H12" s="671">
        <v>4</v>
      </c>
      <c r="I12" s="682">
        <f>+X12/1000000</f>
        <v>9.750432</v>
      </c>
      <c r="J12" s="671">
        <f>SUM(G12-H12)</f>
        <v>9</v>
      </c>
      <c r="K12" s="683">
        <f>+Y12/1000000</f>
        <v>14.543664</v>
      </c>
      <c r="L12" s="680">
        <v>13</v>
      </c>
      <c r="M12" s="671">
        <v>4</v>
      </c>
      <c r="N12" s="682">
        <f>SUM(Z12/1000000)</f>
        <v>10.010208</v>
      </c>
      <c r="O12" s="671">
        <f>SUM(L12-M12)</f>
        <v>9</v>
      </c>
      <c r="P12" s="674">
        <f t="shared" si="0"/>
        <v>14.543664</v>
      </c>
      <c r="R12" s="676">
        <v>8873604</v>
      </c>
      <c r="S12" s="676">
        <v>22850184</v>
      </c>
      <c r="T12" s="676">
        <v>9111732</v>
      </c>
      <c r="U12" s="677">
        <f t="shared" si="1"/>
        <v>13738452</v>
      </c>
      <c r="W12" s="678">
        <v>24294096</v>
      </c>
      <c r="X12" s="678">
        <v>9750432</v>
      </c>
      <c r="Y12" s="678">
        <f t="shared" si="2"/>
        <v>14543664</v>
      </c>
      <c r="Z12" s="678">
        <v>10010208</v>
      </c>
      <c r="AA12" s="678"/>
    </row>
    <row r="13" spans="1:28" s="7" customFormat="1" ht="24.95" customHeight="1">
      <c r="A13" s="679">
        <v>19</v>
      </c>
      <c r="B13" s="680">
        <v>12</v>
      </c>
      <c r="C13" s="671">
        <v>4</v>
      </c>
      <c r="D13" s="681">
        <v>6.2939400000000001</v>
      </c>
      <c r="E13" s="671">
        <v>8</v>
      </c>
      <c r="F13" s="672">
        <v>9.0498239999999992</v>
      </c>
      <c r="G13" s="680">
        <v>12</v>
      </c>
      <c r="H13" s="671">
        <v>5</v>
      </c>
      <c r="I13" s="682">
        <f t="shared" ref="I13:I15" si="3">+X13/1000000</f>
        <v>8.0651519999999994</v>
      </c>
      <c r="J13" s="671">
        <f t="shared" ref="J13:J15" si="4">SUM(G13-H13)</f>
        <v>7</v>
      </c>
      <c r="K13" s="683">
        <f t="shared" ref="K13:K15" si="5">+Y13/1000000</f>
        <v>8.7879120000000004</v>
      </c>
      <c r="L13" s="680">
        <v>12</v>
      </c>
      <c r="M13" s="671">
        <v>5</v>
      </c>
      <c r="N13" s="682">
        <f t="shared" ref="N13:N15" si="6">SUM(Z13/1000000)</f>
        <v>8.2847519999999992</v>
      </c>
      <c r="O13" s="671">
        <f t="shared" ref="O13:O15" si="7">SUM(L13-M13)</f>
        <v>7</v>
      </c>
      <c r="P13" s="674">
        <f t="shared" si="0"/>
        <v>8.7879120000000004</v>
      </c>
      <c r="R13" s="676">
        <v>6132900</v>
      </c>
      <c r="S13" s="676">
        <v>15343764</v>
      </c>
      <c r="T13" s="676">
        <v>6293940</v>
      </c>
      <c r="U13" s="677">
        <f t="shared" si="1"/>
        <v>9049824</v>
      </c>
      <c r="W13" s="678">
        <v>16853064</v>
      </c>
      <c r="X13" s="678">
        <v>8065152</v>
      </c>
      <c r="Y13" s="678">
        <f t="shared" si="2"/>
        <v>8787912</v>
      </c>
      <c r="Z13" s="678">
        <v>8284752</v>
      </c>
      <c r="AA13" s="678"/>
    </row>
    <row r="14" spans="1:28" s="7" customFormat="1" ht="24.95" customHeight="1">
      <c r="A14" s="679">
        <v>18</v>
      </c>
      <c r="B14" s="680">
        <v>21</v>
      </c>
      <c r="C14" s="671">
        <v>17</v>
      </c>
      <c r="D14" s="681">
        <v>19.786619999999999</v>
      </c>
      <c r="E14" s="671">
        <v>4</v>
      </c>
      <c r="F14" s="672">
        <v>3.1650719999999999</v>
      </c>
      <c r="G14" s="680">
        <v>20</v>
      </c>
      <c r="H14" s="671">
        <v>17</v>
      </c>
      <c r="I14" s="682">
        <f t="shared" si="3"/>
        <v>21.195432</v>
      </c>
      <c r="J14" s="671">
        <f t="shared" si="4"/>
        <v>3</v>
      </c>
      <c r="K14" s="683">
        <f t="shared" si="5"/>
        <v>2.616444</v>
      </c>
      <c r="L14" s="680">
        <v>20</v>
      </c>
      <c r="M14" s="671">
        <v>17</v>
      </c>
      <c r="N14" s="682">
        <f t="shared" si="6"/>
        <v>21.898008000000001</v>
      </c>
      <c r="O14" s="671">
        <f t="shared" si="7"/>
        <v>3</v>
      </c>
      <c r="P14" s="674">
        <f t="shared" si="0"/>
        <v>2.616444</v>
      </c>
      <c r="R14" s="676">
        <v>19142592</v>
      </c>
      <c r="S14" s="676">
        <v>22951692</v>
      </c>
      <c r="T14" s="676">
        <v>19786620</v>
      </c>
      <c r="U14" s="677">
        <f t="shared" si="1"/>
        <v>3165072</v>
      </c>
      <c r="W14" s="678">
        <v>23811876</v>
      </c>
      <c r="X14" s="678">
        <v>21195432</v>
      </c>
      <c r="Y14" s="678">
        <f t="shared" si="2"/>
        <v>2616444</v>
      </c>
      <c r="Z14" s="678">
        <v>21898008</v>
      </c>
      <c r="AA14" s="678"/>
    </row>
    <row r="15" spans="1:28" s="7" customFormat="1" ht="24.95" customHeight="1">
      <c r="A15" s="684">
        <v>17</v>
      </c>
      <c r="B15" s="680">
        <v>78</v>
      </c>
      <c r="C15" s="671">
        <v>37</v>
      </c>
      <c r="D15" s="681">
        <v>39.045588000000002</v>
      </c>
      <c r="E15" s="671">
        <v>41</v>
      </c>
      <c r="F15" s="672">
        <v>27.282191999999998</v>
      </c>
      <c r="G15" s="685">
        <v>78</v>
      </c>
      <c r="H15" s="671">
        <v>34</v>
      </c>
      <c r="I15" s="682">
        <f t="shared" si="3"/>
        <v>38.324123999999998</v>
      </c>
      <c r="J15" s="671">
        <f t="shared" si="4"/>
        <v>44</v>
      </c>
      <c r="K15" s="683">
        <f t="shared" si="5"/>
        <v>31.338024000000001</v>
      </c>
      <c r="L15" s="685">
        <v>78</v>
      </c>
      <c r="M15" s="671">
        <v>34</v>
      </c>
      <c r="N15" s="682">
        <f t="shared" si="6"/>
        <v>39.450203999999999</v>
      </c>
      <c r="O15" s="671">
        <f t="shared" si="7"/>
        <v>44</v>
      </c>
      <c r="P15" s="674">
        <f t="shared" si="0"/>
        <v>31.338024000000001</v>
      </c>
      <c r="R15" s="676">
        <v>37922268</v>
      </c>
      <c r="S15" s="676">
        <v>66327780</v>
      </c>
      <c r="T15" s="676">
        <v>39045588</v>
      </c>
      <c r="U15" s="677">
        <f t="shared" si="1"/>
        <v>27282192</v>
      </c>
      <c r="W15" s="678">
        <v>69662148</v>
      </c>
      <c r="X15" s="678">
        <v>38324124</v>
      </c>
      <c r="Y15" s="678">
        <f t="shared" si="2"/>
        <v>31338024</v>
      </c>
      <c r="Z15" s="678">
        <v>39450204</v>
      </c>
      <c r="AA15" s="678"/>
    </row>
    <row r="16" spans="1:28" s="7" customFormat="1" ht="24.95" customHeight="1">
      <c r="A16" s="686" t="s">
        <v>871</v>
      </c>
      <c r="B16" s="686">
        <f>SUM(B10:B15)</f>
        <v>125</v>
      </c>
      <c r="C16" s="686">
        <f t="shared" ref="C16:K16" si="8">SUM(C10:C15)</f>
        <v>63</v>
      </c>
      <c r="D16" s="687">
        <f>SUM(D10:D15)</f>
        <v>81.126840000000001</v>
      </c>
      <c r="E16" s="686">
        <f t="shared" si="8"/>
        <v>62</v>
      </c>
      <c r="F16" s="687">
        <f t="shared" si="8"/>
        <v>53.23554</v>
      </c>
      <c r="G16" s="686">
        <f>SUM(G10:G15)</f>
        <v>124</v>
      </c>
      <c r="H16" s="686">
        <f t="shared" ref="H16" si="9">SUM(H10:H15)</f>
        <v>61</v>
      </c>
      <c r="I16" s="688">
        <f t="shared" si="8"/>
        <v>84.430019999999999</v>
      </c>
      <c r="J16" s="686">
        <f t="shared" si="8"/>
        <v>63</v>
      </c>
      <c r="K16" s="689">
        <f t="shared" si="8"/>
        <v>57.286044000000004</v>
      </c>
      <c r="L16" s="686">
        <f>SUM(L10:L15)</f>
        <v>124</v>
      </c>
      <c r="M16" s="686">
        <f t="shared" ref="M16" si="10">SUM(M10:M15)</f>
        <v>61</v>
      </c>
      <c r="N16" s="689">
        <f>SUM(N10:N15)</f>
        <v>86.738051999999996</v>
      </c>
      <c r="O16" s="686">
        <f t="shared" ref="O16" si="11">SUM(O10:O15)</f>
        <v>63</v>
      </c>
      <c r="P16" s="689">
        <f>SUM(P10:P15)</f>
        <v>57.286044000000004</v>
      </c>
      <c r="R16" s="676"/>
      <c r="S16" s="676"/>
      <c r="T16" s="676"/>
      <c r="U16" s="677">
        <f t="shared" si="1"/>
        <v>0</v>
      </c>
      <c r="W16" s="678"/>
      <c r="Y16" s="678">
        <f t="shared" si="2"/>
        <v>0</v>
      </c>
      <c r="Z16" s="678"/>
      <c r="AA16" s="678"/>
    </row>
    <row r="17" spans="1:27" s="7" customFormat="1" ht="24.95" customHeight="1">
      <c r="A17" s="667">
        <v>16</v>
      </c>
      <c r="B17" s="690">
        <v>156</v>
      </c>
      <c r="C17" s="671">
        <v>124</v>
      </c>
      <c r="D17" s="691">
        <v>100.230756</v>
      </c>
      <c r="E17" s="671">
        <v>32</v>
      </c>
      <c r="F17" s="668">
        <v>17.668583999999999</v>
      </c>
      <c r="G17" s="668">
        <v>161</v>
      </c>
      <c r="H17" s="671">
        <v>124</v>
      </c>
      <c r="I17" s="682">
        <f t="shared" ref="I17:I27" si="12">+X17/1000000</f>
        <v>107.23757999999999</v>
      </c>
      <c r="J17" s="671">
        <f t="shared" ref="J17:J27" si="13">SUM(G17-H17)</f>
        <v>37</v>
      </c>
      <c r="K17" s="683">
        <f t="shared" ref="K17:K27" si="14">+Y17/1000000</f>
        <v>17.964096000000001</v>
      </c>
      <c r="L17" s="668">
        <v>161</v>
      </c>
      <c r="M17" s="671">
        <v>124</v>
      </c>
      <c r="N17" s="682">
        <f t="shared" ref="N17:N27" si="15">SUM(Z17/1000000)</f>
        <v>109.981044</v>
      </c>
      <c r="O17" s="671">
        <f t="shared" ref="O17:O27" si="16">SUM(L17-M17)</f>
        <v>37</v>
      </c>
      <c r="P17" s="674">
        <f t="shared" ref="P17:P27" si="17">+K17</f>
        <v>17.964096000000001</v>
      </c>
      <c r="R17" s="676">
        <v>97742820</v>
      </c>
      <c r="S17" s="676">
        <v>117899340</v>
      </c>
      <c r="T17" s="676">
        <v>100230756</v>
      </c>
      <c r="U17" s="677">
        <f t="shared" si="1"/>
        <v>17668584</v>
      </c>
      <c r="W17" s="678">
        <v>125201676</v>
      </c>
      <c r="X17" s="678">
        <v>107237580</v>
      </c>
      <c r="Y17" s="678">
        <f t="shared" si="2"/>
        <v>17964096</v>
      </c>
      <c r="Z17" s="678">
        <v>109981044</v>
      </c>
      <c r="AA17" s="678"/>
    </row>
    <row r="18" spans="1:27" s="7" customFormat="1" ht="24.95" customHeight="1">
      <c r="A18" s="679">
        <v>15</v>
      </c>
      <c r="B18" s="690">
        <v>2</v>
      </c>
      <c r="C18" s="671">
        <v>2</v>
      </c>
      <c r="D18" s="691">
        <v>1.3581479999999999</v>
      </c>
      <c r="E18" s="671"/>
      <c r="F18" s="668">
        <v>0</v>
      </c>
      <c r="G18" s="680">
        <v>3</v>
      </c>
      <c r="H18" s="671">
        <v>3</v>
      </c>
      <c r="I18" s="682">
        <f t="shared" si="12"/>
        <v>2.1991200000000002</v>
      </c>
      <c r="J18" s="671">
        <f t="shared" si="13"/>
        <v>0</v>
      </c>
      <c r="K18" s="683">
        <f t="shared" si="14"/>
        <v>0</v>
      </c>
      <c r="L18" s="680">
        <v>3</v>
      </c>
      <c r="M18" s="671">
        <v>3</v>
      </c>
      <c r="N18" s="682">
        <f t="shared" si="15"/>
        <v>2.2565759999999999</v>
      </c>
      <c r="O18" s="671">
        <f t="shared" si="16"/>
        <v>0</v>
      </c>
      <c r="P18" s="674">
        <f t="shared" si="17"/>
        <v>0</v>
      </c>
      <c r="R18" s="676">
        <v>1323036</v>
      </c>
      <c r="S18" s="676">
        <v>1358148</v>
      </c>
      <c r="T18" s="676">
        <f>+S18</f>
        <v>1358148</v>
      </c>
      <c r="U18" s="677">
        <f t="shared" si="1"/>
        <v>0</v>
      </c>
      <c r="W18" s="678">
        <v>2199120</v>
      </c>
      <c r="X18" s="678">
        <v>2199120</v>
      </c>
      <c r="Y18" s="678">
        <f t="shared" si="2"/>
        <v>0</v>
      </c>
      <c r="Z18" s="678">
        <v>2256576</v>
      </c>
      <c r="AA18" s="678"/>
    </row>
    <row r="19" spans="1:27" s="7" customFormat="1" ht="24.95" customHeight="1">
      <c r="A19" s="692">
        <v>14</v>
      </c>
      <c r="B19" s="690">
        <v>50</v>
      </c>
      <c r="C19" s="671">
        <v>45</v>
      </c>
      <c r="D19" s="691">
        <v>27.552803999999998</v>
      </c>
      <c r="E19" s="671">
        <v>5</v>
      </c>
      <c r="F19" s="668">
        <v>1.73628</v>
      </c>
      <c r="G19" s="693">
        <v>49</v>
      </c>
      <c r="H19" s="671">
        <v>46</v>
      </c>
      <c r="I19" s="682">
        <f t="shared" si="12"/>
        <v>28.817784</v>
      </c>
      <c r="J19" s="671">
        <f t="shared" si="13"/>
        <v>3</v>
      </c>
      <c r="K19" s="683">
        <f t="shared" si="14"/>
        <v>1.0565640000000001</v>
      </c>
      <c r="L19" s="693">
        <v>49</v>
      </c>
      <c r="M19" s="671">
        <v>46</v>
      </c>
      <c r="N19" s="682">
        <f t="shared" si="15"/>
        <v>29.68488</v>
      </c>
      <c r="O19" s="671">
        <f t="shared" si="16"/>
        <v>3</v>
      </c>
      <c r="P19" s="674">
        <f t="shared" si="17"/>
        <v>1.0565640000000001</v>
      </c>
      <c r="R19" s="676">
        <v>26857824</v>
      </c>
      <c r="S19" s="676">
        <v>29289084</v>
      </c>
      <c r="T19" s="676">
        <v>27552804</v>
      </c>
      <c r="U19" s="677">
        <f t="shared" si="1"/>
        <v>1736280</v>
      </c>
      <c r="W19" s="678">
        <v>29874348</v>
      </c>
      <c r="X19" s="678">
        <v>28817784</v>
      </c>
      <c r="Y19" s="678">
        <f t="shared" si="2"/>
        <v>1056564</v>
      </c>
      <c r="Z19" s="678">
        <v>29684880</v>
      </c>
      <c r="AA19" s="678"/>
    </row>
    <row r="20" spans="1:27" s="7" customFormat="1" ht="24.95" customHeight="1">
      <c r="A20" s="692">
        <v>13</v>
      </c>
      <c r="B20" s="690"/>
      <c r="C20" s="671"/>
      <c r="D20" s="691">
        <v>0</v>
      </c>
      <c r="E20" s="671"/>
      <c r="F20" s="668"/>
      <c r="G20" s="693"/>
      <c r="H20" s="671"/>
      <c r="I20" s="682">
        <f t="shared" si="12"/>
        <v>0</v>
      </c>
      <c r="J20" s="671">
        <f t="shared" si="13"/>
        <v>0</v>
      </c>
      <c r="K20" s="683">
        <f t="shared" si="14"/>
        <v>0</v>
      </c>
      <c r="L20" s="693"/>
      <c r="M20" s="671"/>
      <c r="N20" s="682">
        <f t="shared" si="15"/>
        <v>0</v>
      </c>
      <c r="O20" s="671">
        <f t="shared" si="16"/>
        <v>0</v>
      </c>
      <c r="P20" s="674">
        <f t="shared" si="17"/>
        <v>0</v>
      </c>
      <c r="R20" s="676"/>
      <c r="S20" s="676"/>
      <c r="T20" s="676"/>
      <c r="U20" s="677">
        <f t="shared" si="1"/>
        <v>0</v>
      </c>
      <c r="W20" s="678"/>
      <c r="X20" s="678"/>
      <c r="Y20" s="678">
        <f t="shared" si="2"/>
        <v>0</v>
      </c>
      <c r="Z20" s="678"/>
      <c r="AA20" s="678"/>
    </row>
    <row r="21" spans="1:27" s="7" customFormat="1" ht="24.95" customHeight="1">
      <c r="A21" s="692">
        <v>12</v>
      </c>
      <c r="B21" s="690">
        <v>33</v>
      </c>
      <c r="C21" s="671">
        <v>33</v>
      </c>
      <c r="D21" s="691">
        <v>18.751248</v>
      </c>
      <c r="E21" s="671"/>
      <c r="F21" s="668"/>
      <c r="G21" s="693">
        <v>31</v>
      </c>
      <c r="H21" s="671">
        <v>31</v>
      </c>
      <c r="I21" s="682">
        <f t="shared" si="12"/>
        <v>19.059048000000001</v>
      </c>
      <c r="J21" s="671">
        <f t="shared" si="13"/>
        <v>0</v>
      </c>
      <c r="K21" s="683">
        <f t="shared" si="14"/>
        <v>0</v>
      </c>
      <c r="L21" s="693">
        <v>31</v>
      </c>
      <c r="M21" s="671">
        <v>31</v>
      </c>
      <c r="N21" s="682">
        <f t="shared" si="15"/>
        <v>19.547160000000002</v>
      </c>
      <c r="O21" s="671">
        <f t="shared" si="16"/>
        <v>0</v>
      </c>
      <c r="P21" s="674">
        <f t="shared" si="17"/>
        <v>0</v>
      </c>
      <c r="R21" s="676">
        <v>18333072</v>
      </c>
      <c r="S21" s="676">
        <v>18751248</v>
      </c>
      <c r="T21" s="676">
        <v>18751248</v>
      </c>
      <c r="U21" s="677">
        <f t="shared" si="1"/>
        <v>0</v>
      </c>
      <c r="W21" s="678">
        <v>19059048</v>
      </c>
      <c r="X21" s="678">
        <v>19059048</v>
      </c>
      <c r="Y21" s="678">
        <f t="shared" si="2"/>
        <v>0</v>
      </c>
      <c r="Z21" s="678">
        <v>19547160</v>
      </c>
      <c r="AA21" s="678"/>
    </row>
    <row r="22" spans="1:27" s="7" customFormat="1" ht="24.95" customHeight="1">
      <c r="A22" s="692">
        <v>11</v>
      </c>
      <c r="B22" s="690">
        <v>59</v>
      </c>
      <c r="C22" s="671">
        <v>33</v>
      </c>
      <c r="D22" s="691">
        <v>17.065584000000001</v>
      </c>
      <c r="E22" s="671">
        <v>26</v>
      </c>
      <c r="F22" s="668">
        <v>15.346512000000001</v>
      </c>
      <c r="G22" s="693">
        <v>54</v>
      </c>
      <c r="H22" s="671">
        <v>25</v>
      </c>
      <c r="I22" s="682">
        <f t="shared" si="12"/>
        <v>13.197191999999999</v>
      </c>
      <c r="J22" s="671">
        <f t="shared" si="13"/>
        <v>29</v>
      </c>
      <c r="K22" s="683">
        <f t="shared" si="14"/>
        <v>9.0929040000000008</v>
      </c>
      <c r="L22" s="693">
        <v>54</v>
      </c>
      <c r="M22" s="671">
        <v>25</v>
      </c>
      <c r="N22" s="682">
        <f t="shared" si="15"/>
        <v>13.595304</v>
      </c>
      <c r="O22" s="671">
        <f t="shared" si="16"/>
        <v>29</v>
      </c>
      <c r="P22" s="674">
        <f t="shared" si="17"/>
        <v>9.0929040000000008</v>
      </c>
      <c r="R22" s="676">
        <v>16682256</v>
      </c>
      <c r="S22" s="676">
        <v>32412096</v>
      </c>
      <c r="T22" s="676">
        <v>17065584</v>
      </c>
      <c r="U22" s="677">
        <f t="shared" si="1"/>
        <v>15346512</v>
      </c>
      <c r="W22" s="678">
        <v>22290096</v>
      </c>
      <c r="X22" s="678">
        <v>13197192</v>
      </c>
      <c r="Y22" s="678">
        <f t="shared" si="2"/>
        <v>9092904</v>
      </c>
      <c r="Z22" s="678">
        <v>13595304</v>
      </c>
      <c r="AA22" s="678"/>
    </row>
    <row r="23" spans="1:27" s="7" customFormat="1" ht="24.95" customHeight="1">
      <c r="A23" s="692">
        <v>10</v>
      </c>
      <c r="B23" s="690">
        <v>1</v>
      </c>
      <c r="C23" s="671">
        <v>1</v>
      </c>
      <c r="D23" s="691">
        <v>0.3705</v>
      </c>
      <c r="E23" s="671"/>
      <c r="F23" s="668"/>
      <c r="G23" s="693">
        <v>1</v>
      </c>
      <c r="H23" s="671">
        <v>1</v>
      </c>
      <c r="I23" s="682">
        <f t="shared" si="12"/>
        <v>0.40739999999999998</v>
      </c>
      <c r="J23" s="671">
        <f t="shared" si="13"/>
        <v>0</v>
      </c>
      <c r="K23" s="683">
        <f t="shared" si="14"/>
        <v>0</v>
      </c>
      <c r="L23" s="693">
        <v>1</v>
      </c>
      <c r="M23" s="671">
        <v>1</v>
      </c>
      <c r="N23" s="682">
        <f t="shared" si="15"/>
        <v>0.42227999999999999</v>
      </c>
      <c r="O23" s="671">
        <f t="shared" si="16"/>
        <v>0</v>
      </c>
      <c r="P23" s="674">
        <f t="shared" si="17"/>
        <v>0</v>
      </c>
      <c r="R23" s="676">
        <v>359940</v>
      </c>
      <c r="S23" s="676">
        <v>370500</v>
      </c>
      <c r="T23" s="676">
        <v>370500</v>
      </c>
      <c r="U23" s="677">
        <f t="shared" si="1"/>
        <v>0</v>
      </c>
      <c r="W23" s="678">
        <f>+X23</f>
        <v>407400</v>
      </c>
      <c r="X23" s="678">
        <v>407400</v>
      </c>
      <c r="Y23" s="678">
        <f t="shared" si="2"/>
        <v>0</v>
      </c>
      <c r="Z23" s="678">
        <v>422280</v>
      </c>
      <c r="AA23" s="678"/>
    </row>
    <row r="24" spans="1:27" s="7" customFormat="1" ht="24.95" customHeight="1">
      <c r="A24" s="692">
        <v>9</v>
      </c>
      <c r="B24" s="690"/>
      <c r="C24" s="671"/>
      <c r="D24" s="691"/>
      <c r="E24" s="671"/>
      <c r="F24" s="668"/>
      <c r="G24" s="693"/>
      <c r="H24" s="671"/>
      <c r="I24" s="682">
        <f t="shared" si="12"/>
        <v>0</v>
      </c>
      <c r="J24" s="671">
        <f t="shared" si="13"/>
        <v>0</v>
      </c>
      <c r="K24" s="683">
        <f t="shared" si="14"/>
        <v>0</v>
      </c>
      <c r="L24" s="693"/>
      <c r="M24" s="671"/>
      <c r="N24" s="682">
        <f t="shared" si="15"/>
        <v>0</v>
      </c>
      <c r="O24" s="671">
        <f t="shared" si="16"/>
        <v>0</v>
      </c>
      <c r="P24" s="674">
        <f t="shared" si="17"/>
        <v>0</v>
      </c>
      <c r="R24" s="676"/>
      <c r="S24" s="676"/>
      <c r="T24" s="676"/>
      <c r="U24" s="677">
        <f t="shared" si="1"/>
        <v>0</v>
      </c>
      <c r="W24" s="678"/>
      <c r="X24" s="678"/>
      <c r="Y24" s="678">
        <f t="shared" si="2"/>
        <v>0</v>
      </c>
      <c r="Z24" s="678"/>
      <c r="AA24" s="678"/>
    </row>
    <row r="25" spans="1:27" s="7" customFormat="1" ht="24.95" customHeight="1">
      <c r="A25" s="692">
        <v>8</v>
      </c>
      <c r="B25" s="690">
        <v>14</v>
      </c>
      <c r="C25" s="671">
        <v>14</v>
      </c>
      <c r="D25" s="691">
        <v>6.4459679999999997</v>
      </c>
      <c r="E25" s="671"/>
      <c r="F25" s="668"/>
      <c r="G25" s="693">
        <v>15</v>
      </c>
      <c r="H25" s="671">
        <v>15</v>
      </c>
      <c r="I25" s="682">
        <f t="shared" si="12"/>
        <v>7.0465439999999999</v>
      </c>
      <c r="J25" s="671">
        <f t="shared" si="13"/>
        <v>0</v>
      </c>
      <c r="K25" s="683">
        <f t="shared" si="14"/>
        <v>0</v>
      </c>
      <c r="L25" s="693">
        <v>15</v>
      </c>
      <c r="M25" s="671">
        <v>15</v>
      </c>
      <c r="N25" s="682">
        <f t="shared" si="15"/>
        <v>7.2249840000000001</v>
      </c>
      <c r="O25" s="671">
        <f t="shared" si="16"/>
        <v>0</v>
      </c>
      <c r="P25" s="674">
        <f t="shared" si="17"/>
        <v>0</v>
      </c>
      <c r="R25" s="676">
        <v>6322152</v>
      </c>
      <c r="S25" s="676">
        <v>6445968</v>
      </c>
      <c r="T25" s="676">
        <v>6445968</v>
      </c>
      <c r="U25" s="677">
        <f t="shared" si="1"/>
        <v>0</v>
      </c>
      <c r="W25" s="678">
        <f>+X25</f>
        <v>7046544</v>
      </c>
      <c r="X25" s="678">
        <v>7046544</v>
      </c>
      <c r="Y25" s="678">
        <f t="shared" si="2"/>
        <v>0</v>
      </c>
      <c r="Z25" s="678">
        <v>7224984</v>
      </c>
      <c r="AA25" s="678"/>
    </row>
    <row r="26" spans="1:27" s="7" customFormat="1" ht="24.95" customHeight="1">
      <c r="A26" s="692">
        <v>7</v>
      </c>
      <c r="B26" s="690">
        <v>146</v>
      </c>
      <c r="C26" s="671">
        <v>141</v>
      </c>
      <c r="D26" s="691">
        <v>63.948456</v>
      </c>
      <c r="E26" s="671">
        <v>5</v>
      </c>
      <c r="F26" s="668">
        <v>1.24098</v>
      </c>
      <c r="G26" s="693">
        <v>142</v>
      </c>
      <c r="H26" s="671">
        <v>132</v>
      </c>
      <c r="I26" s="682">
        <f t="shared" si="12"/>
        <v>64.836467999999996</v>
      </c>
      <c r="J26" s="671">
        <f t="shared" si="13"/>
        <v>10</v>
      </c>
      <c r="K26" s="683">
        <f t="shared" si="14"/>
        <v>2.6520239999999999</v>
      </c>
      <c r="L26" s="693">
        <v>142</v>
      </c>
      <c r="M26" s="671">
        <v>132</v>
      </c>
      <c r="N26" s="682">
        <f t="shared" si="15"/>
        <v>66.202811999999994</v>
      </c>
      <c r="O26" s="671">
        <f t="shared" si="16"/>
        <v>10</v>
      </c>
      <c r="P26" s="674">
        <f t="shared" si="17"/>
        <v>2.6520239999999999</v>
      </c>
      <c r="R26" s="676">
        <v>62813124</v>
      </c>
      <c r="S26" s="676">
        <v>65189436</v>
      </c>
      <c r="T26" s="676">
        <v>63948456</v>
      </c>
      <c r="U26" s="677">
        <f t="shared" si="1"/>
        <v>1240980</v>
      </c>
      <c r="W26" s="678">
        <v>67488492</v>
      </c>
      <c r="X26" s="678">
        <v>64836468</v>
      </c>
      <c r="Y26" s="678">
        <f t="shared" si="2"/>
        <v>2652024</v>
      </c>
      <c r="Z26" s="678">
        <v>66202812</v>
      </c>
      <c r="AA26" s="678"/>
    </row>
    <row r="27" spans="1:27" s="7" customFormat="1" ht="24.95" customHeight="1">
      <c r="A27" s="692">
        <v>6</v>
      </c>
      <c r="B27" s="690">
        <v>129</v>
      </c>
      <c r="C27" s="671">
        <v>129</v>
      </c>
      <c r="D27" s="691">
        <v>52.998095999999997</v>
      </c>
      <c r="E27" s="671"/>
      <c r="F27" s="668"/>
      <c r="G27" s="694">
        <v>127</v>
      </c>
      <c r="H27" s="671">
        <v>127</v>
      </c>
      <c r="I27" s="682">
        <f t="shared" si="12"/>
        <v>56.390112000000002</v>
      </c>
      <c r="J27" s="671">
        <f t="shared" si="13"/>
        <v>0</v>
      </c>
      <c r="K27" s="683">
        <f t="shared" si="14"/>
        <v>0</v>
      </c>
      <c r="L27" s="694">
        <v>127</v>
      </c>
      <c r="M27" s="671">
        <v>127</v>
      </c>
      <c r="N27" s="682">
        <f t="shared" si="15"/>
        <v>57.712944</v>
      </c>
      <c r="O27" s="671">
        <f t="shared" si="16"/>
        <v>0</v>
      </c>
      <c r="P27" s="674">
        <f t="shared" si="17"/>
        <v>0</v>
      </c>
      <c r="R27" s="676">
        <v>52044528</v>
      </c>
      <c r="S27" s="676">
        <v>52998096</v>
      </c>
      <c r="T27" s="676">
        <v>52998096</v>
      </c>
      <c r="U27" s="677">
        <f t="shared" si="1"/>
        <v>0</v>
      </c>
      <c r="W27" s="678">
        <v>56390112</v>
      </c>
      <c r="X27" s="678">
        <v>56390112</v>
      </c>
      <c r="Y27" s="678">
        <f t="shared" si="2"/>
        <v>0</v>
      </c>
      <c r="Z27" s="678">
        <v>57712944</v>
      </c>
      <c r="AA27" s="678"/>
    </row>
    <row r="28" spans="1:27" s="7" customFormat="1" ht="24.95" customHeight="1">
      <c r="A28" s="686" t="s">
        <v>871</v>
      </c>
      <c r="B28" s="686">
        <f>SUM(B17:B27)</f>
        <v>590</v>
      </c>
      <c r="C28" s="686">
        <f t="shared" ref="C28:P28" si="18">SUM(C17:C27)</f>
        <v>522</v>
      </c>
      <c r="D28" s="687">
        <f t="shared" si="18"/>
        <v>288.72155999999995</v>
      </c>
      <c r="E28" s="686">
        <f t="shared" si="18"/>
        <v>68</v>
      </c>
      <c r="F28" s="687">
        <f t="shared" si="18"/>
        <v>35.992356000000001</v>
      </c>
      <c r="G28" s="686">
        <f t="shared" si="18"/>
        <v>583</v>
      </c>
      <c r="H28" s="686">
        <f t="shared" si="18"/>
        <v>504</v>
      </c>
      <c r="I28" s="688">
        <f t="shared" si="18"/>
        <v>299.19124799999997</v>
      </c>
      <c r="J28" s="686">
        <f t="shared" si="18"/>
        <v>79</v>
      </c>
      <c r="K28" s="689">
        <f t="shared" si="18"/>
        <v>30.765588000000005</v>
      </c>
      <c r="L28" s="686">
        <f t="shared" si="18"/>
        <v>583</v>
      </c>
      <c r="M28" s="686">
        <f t="shared" si="18"/>
        <v>504</v>
      </c>
      <c r="N28" s="689">
        <f t="shared" si="18"/>
        <v>306.62798399999997</v>
      </c>
      <c r="O28" s="686">
        <f t="shared" si="18"/>
        <v>79</v>
      </c>
      <c r="P28" s="689">
        <f t="shared" si="18"/>
        <v>30.765588000000005</v>
      </c>
      <c r="R28" s="676"/>
      <c r="S28" s="676"/>
      <c r="T28" s="676"/>
      <c r="U28" s="677">
        <f t="shared" si="1"/>
        <v>0</v>
      </c>
      <c r="W28" s="678"/>
      <c r="X28" s="678"/>
      <c r="Y28" s="678">
        <f t="shared" si="2"/>
        <v>0</v>
      </c>
      <c r="Z28" s="678"/>
      <c r="AA28" s="678"/>
    </row>
    <row r="29" spans="1:27" s="7" customFormat="1" ht="24.95" customHeight="1">
      <c r="A29" s="692">
        <v>5</v>
      </c>
      <c r="B29" s="690">
        <v>116</v>
      </c>
      <c r="C29" s="671">
        <v>99</v>
      </c>
      <c r="D29" s="691">
        <v>36.786755999999997</v>
      </c>
      <c r="E29" s="668">
        <v>17</v>
      </c>
      <c r="F29" s="668">
        <v>3.9794399999999999</v>
      </c>
      <c r="G29" s="695">
        <v>116</v>
      </c>
      <c r="H29" s="671">
        <v>96</v>
      </c>
      <c r="I29" s="682">
        <f t="shared" ref="I29:I33" si="19">+X29/1000000</f>
        <v>38.100467999999999</v>
      </c>
      <c r="J29" s="671">
        <f t="shared" ref="J29:J33" si="20">SUM(G29-H29)</f>
        <v>20</v>
      </c>
      <c r="K29" s="683">
        <f t="shared" ref="K29:K33" si="21">+Y29/1000000</f>
        <v>4.9253999999999998</v>
      </c>
      <c r="L29" s="695">
        <v>116</v>
      </c>
      <c r="M29" s="671">
        <v>96</v>
      </c>
      <c r="N29" s="682">
        <f t="shared" ref="N29:N33" si="22">SUM(Z29/1000000)</f>
        <v>38.989415999999999</v>
      </c>
      <c r="O29" s="671">
        <f t="shared" ref="O29:O33" si="23">SUM(L29-M29)</f>
        <v>20</v>
      </c>
      <c r="P29" s="674">
        <f t="shared" ref="P29:P33" si="24">+K29</f>
        <v>4.9253999999999998</v>
      </c>
      <c r="R29" s="676">
        <v>36133356</v>
      </c>
      <c r="S29" s="676">
        <v>40766196</v>
      </c>
      <c r="T29" s="676">
        <v>36786756</v>
      </c>
      <c r="U29" s="677">
        <f t="shared" si="1"/>
        <v>3979440</v>
      </c>
      <c r="W29" s="678">
        <v>43025868</v>
      </c>
      <c r="X29" s="678">
        <v>38100468</v>
      </c>
      <c r="Y29" s="678">
        <f t="shared" si="2"/>
        <v>4925400</v>
      </c>
      <c r="Z29" s="678">
        <v>38989416</v>
      </c>
      <c r="AA29" s="678"/>
    </row>
    <row r="30" spans="1:27" s="7" customFormat="1" ht="24.95" customHeight="1">
      <c r="A30" s="692">
        <v>4</v>
      </c>
      <c r="B30" s="690">
        <v>373</v>
      </c>
      <c r="C30" s="671">
        <v>372</v>
      </c>
      <c r="D30" s="691">
        <v>111.23586</v>
      </c>
      <c r="E30" s="668">
        <v>1</v>
      </c>
      <c r="F30" s="668">
        <v>0.26528400000000002</v>
      </c>
      <c r="G30" s="693">
        <v>371</v>
      </c>
      <c r="H30" s="671">
        <v>369</v>
      </c>
      <c r="I30" s="682">
        <f t="shared" si="19"/>
        <v>120.21346800000001</v>
      </c>
      <c r="J30" s="671">
        <f t="shared" si="20"/>
        <v>2</v>
      </c>
      <c r="K30" s="683">
        <f t="shared" si="21"/>
        <v>0.49415999999999999</v>
      </c>
      <c r="L30" s="693">
        <v>371</v>
      </c>
      <c r="M30" s="671">
        <v>369</v>
      </c>
      <c r="N30" s="682">
        <f t="shared" si="22"/>
        <v>123.23336399999999</v>
      </c>
      <c r="O30" s="671">
        <f t="shared" si="23"/>
        <v>2</v>
      </c>
      <c r="P30" s="674">
        <f t="shared" si="24"/>
        <v>0.49415999999999999</v>
      </c>
      <c r="R30" s="676">
        <v>109075284</v>
      </c>
      <c r="S30" s="676">
        <v>111501144</v>
      </c>
      <c r="T30" s="676">
        <v>111235860</v>
      </c>
      <c r="U30" s="677">
        <f t="shared" si="1"/>
        <v>265284</v>
      </c>
      <c r="W30" s="678">
        <v>120707628</v>
      </c>
      <c r="X30" s="678">
        <v>120213468</v>
      </c>
      <c r="Y30" s="678">
        <f t="shared" si="2"/>
        <v>494160</v>
      </c>
      <c r="Z30" s="678">
        <v>123233364</v>
      </c>
      <c r="AA30" s="678"/>
    </row>
    <row r="31" spans="1:27" s="7" customFormat="1" ht="24.95" customHeight="1">
      <c r="A31" s="692">
        <v>3</v>
      </c>
      <c r="B31" s="690">
        <v>4</v>
      </c>
      <c r="C31" s="671">
        <v>1</v>
      </c>
      <c r="D31" s="691">
        <v>0.37046400000000002</v>
      </c>
      <c r="E31" s="668">
        <v>3</v>
      </c>
      <c r="F31" s="668">
        <v>0.66891599999999996</v>
      </c>
      <c r="G31" s="693">
        <v>3</v>
      </c>
      <c r="H31" s="671"/>
      <c r="I31" s="682">
        <f t="shared" si="19"/>
        <v>0</v>
      </c>
      <c r="J31" s="671">
        <f t="shared" si="20"/>
        <v>3</v>
      </c>
      <c r="K31" s="683">
        <f t="shared" si="21"/>
        <v>0.72896399999999995</v>
      </c>
      <c r="L31" s="693">
        <v>3</v>
      </c>
      <c r="M31" s="671"/>
      <c r="N31" s="682">
        <f t="shared" si="22"/>
        <v>0</v>
      </c>
      <c r="O31" s="671">
        <f t="shared" si="23"/>
        <v>3</v>
      </c>
      <c r="P31" s="674">
        <f t="shared" si="24"/>
        <v>0.72896399999999995</v>
      </c>
      <c r="R31" s="676">
        <v>365316</v>
      </c>
      <c r="S31" s="676">
        <v>1039380</v>
      </c>
      <c r="T31" s="676">
        <v>370464</v>
      </c>
      <c r="U31" s="677">
        <f t="shared" si="1"/>
        <v>668916</v>
      </c>
      <c r="W31" s="678">
        <v>728964</v>
      </c>
      <c r="X31" s="678"/>
      <c r="Y31" s="678">
        <f t="shared" si="2"/>
        <v>728964</v>
      </c>
      <c r="Z31" s="678"/>
      <c r="AA31" s="678"/>
    </row>
    <row r="32" spans="1:27" s="7" customFormat="1" ht="24.95" customHeight="1">
      <c r="A32" s="692">
        <v>2</v>
      </c>
      <c r="B32" s="690">
        <v>98</v>
      </c>
      <c r="C32" s="671">
        <v>3</v>
      </c>
      <c r="D32" s="691">
        <v>0.85339200000000004</v>
      </c>
      <c r="E32" s="668">
        <v>95</v>
      </c>
      <c r="F32" s="668">
        <v>20.721672000000002</v>
      </c>
      <c r="G32" s="693">
        <v>111</v>
      </c>
      <c r="H32" s="671">
        <v>1</v>
      </c>
      <c r="I32" s="682">
        <f t="shared" si="19"/>
        <v>0.31941599999999998</v>
      </c>
      <c r="J32" s="671">
        <f t="shared" si="20"/>
        <v>110</v>
      </c>
      <c r="K32" s="683">
        <f t="shared" si="21"/>
        <v>24.996383999999999</v>
      </c>
      <c r="L32" s="693">
        <v>111</v>
      </c>
      <c r="M32" s="671">
        <v>1</v>
      </c>
      <c r="N32" s="682">
        <f t="shared" si="22"/>
        <v>0.325548</v>
      </c>
      <c r="O32" s="671">
        <f t="shared" si="23"/>
        <v>110</v>
      </c>
      <c r="P32" s="674">
        <f t="shared" si="24"/>
        <v>24.996383999999999</v>
      </c>
      <c r="R32" s="676">
        <v>840324</v>
      </c>
      <c r="S32" s="676">
        <v>21575064</v>
      </c>
      <c r="T32" s="676">
        <v>853392</v>
      </c>
      <c r="U32" s="677">
        <f t="shared" si="1"/>
        <v>20721672</v>
      </c>
      <c r="W32" s="678">
        <v>25315800</v>
      </c>
      <c r="X32" s="678">
        <v>319416</v>
      </c>
      <c r="Y32" s="678">
        <f t="shared" si="2"/>
        <v>24996384</v>
      </c>
      <c r="Z32" s="678">
        <v>325548</v>
      </c>
      <c r="AA32" s="678"/>
    </row>
    <row r="33" spans="1:27" s="7" customFormat="1" ht="24.95" customHeight="1">
      <c r="A33" s="696">
        <v>1</v>
      </c>
      <c r="B33" s="668"/>
      <c r="C33" s="668"/>
      <c r="D33" s="668"/>
      <c r="E33" s="668"/>
      <c r="F33" s="668"/>
      <c r="G33" s="694"/>
      <c r="H33" s="697"/>
      <c r="I33" s="682">
        <f t="shared" si="19"/>
        <v>0</v>
      </c>
      <c r="J33" s="671">
        <f t="shared" si="20"/>
        <v>0</v>
      </c>
      <c r="K33" s="683">
        <f t="shared" si="21"/>
        <v>0</v>
      </c>
      <c r="L33" s="694"/>
      <c r="M33" s="697"/>
      <c r="N33" s="682">
        <f t="shared" si="22"/>
        <v>0</v>
      </c>
      <c r="O33" s="671">
        <f t="shared" si="23"/>
        <v>0</v>
      </c>
      <c r="P33" s="674">
        <f t="shared" si="24"/>
        <v>0</v>
      </c>
      <c r="R33" s="676"/>
      <c r="S33" s="676"/>
      <c r="T33" s="676"/>
      <c r="U33" s="677">
        <f t="shared" si="1"/>
        <v>0</v>
      </c>
      <c r="W33" s="678"/>
      <c r="X33" s="678"/>
      <c r="Y33" s="678"/>
      <c r="Z33" s="678"/>
      <c r="AA33" s="678"/>
    </row>
    <row r="34" spans="1:27" s="7" customFormat="1" ht="24.95" customHeight="1">
      <c r="A34" s="698" t="s">
        <v>871</v>
      </c>
      <c r="B34" s="686">
        <f>SUM(B29:B33)</f>
        <v>591</v>
      </c>
      <c r="C34" s="686">
        <f t="shared" ref="C34:P34" si="25">SUM(C29:C33)</f>
        <v>475</v>
      </c>
      <c r="D34" s="687">
        <f t="shared" si="25"/>
        <v>149.24647200000001</v>
      </c>
      <c r="E34" s="686">
        <f t="shared" si="25"/>
        <v>116</v>
      </c>
      <c r="F34" s="687">
        <f t="shared" si="25"/>
        <v>25.635312000000003</v>
      </c>
      <c r="G34" s="686">
        <f t="shared" si="25"/>
        <v>601</v>
      </c>
      <c r="H34" s="686">
        <f t="shared" si="25"/>
        <v>466</v>
      </c>
      <c r="I34" s="688">
        <f t="shared" si="25"/>
        <v>158.633352</v>
      </c>
      <c r="J34" s="686">
        <f t="shared" si="25"/>
        <v>135</v>
      </c>
      <c r="K34" s="689">
        <f t="shared" si="25"/>
        <v>31.144908000000001</v>
      </c>
      <c r="L34" s="686">
        <f t="shared" si="25"/>
        <v>601</v>
      </c>
      <c r="M34" s="686">
        <f t="shared" si="25"/>
        <v>466</v>
      </c>
      <c r="N34" s="686">
        <f t="shared" si="25"/>
        <v>162.548328</v>
      </c>
      <c r="O34" s="686">
        <f t="shared" si="25"/>
        <v>135</v>
      </c>
      <c r="P34" s="689">
        <f t="shared" si="25"/>
        <v>31.144908000000001</v>
      </c>
      <c r="R34" s="676"/>
      <c r="S34" s="676"/>
      <c r="T34" s="676"/>
      <c r="U34" s="677">
        <f t="shared" si="1"/>
        <v>0</v>
      </c>
      <c r="W34" s="678"/>
      <c r="X34" s="678"/>
      <c r="Y34" s="678"/>
      <c r="Z34" s="678"/>
      <c r="AA34" s="678"/>
    </row>
    <row r="35" spans="1:27" s="7" customFormat="1" ht="24.95" customHeight="1">
      <c r="A35" s="699" t="s">
        <v>870</v>
      </c>
      <c r="B35" s="700">
        <f>B34+B28+B16</f>
        <v>1306</v>
      </c>
      <c r="C35" s="700">
        <f t="shared" ref="C35:P35" si="26">C34+C28+C16</f>
        <v>1060</v>
      </c>
      <c r="D35" s="701">
        <f t="shared" si="26"/>
        <v>519.09487200000001</v>
      </c>
      <c r="E35" s="700">
        <f t="shared" si="26"/>
        <v>246</v>
      </c>
      <c r="F35" s="701">
        <f t="shared" si="26"/>
        <v>114.863208</v>
      </c>
      <c r="G35" s="700">
        <f t="shared" si="26"/>
        <v>1308</v>
      </c>
      <c r="H35" s="700">
        <f t="shared" si="26"/>
        <v>1031</v>
      </c>
      <c r="I35" s="702">
        <f t="shared" si="26"/>
        <v>542.25461999999993</v>
      </c>
      <c r="J35" s="700">
        <f t="shared" si="26"/>
        <v>277</v>
      </c>
      <c r="K35" s="703">
        <f t="shared" si="26"/>
        <v>119.19654000000001</v>
      </c>
      <c r="L35" s="700">
        <f t="shared" si="26"/>
        <v>1308</v>
      </c>
      <c r="M35" s="700">
        <f t="shared" si="26"/>
        <v>1031</v>
      </c>
      <c r="N35" s="703">
        <f t="shared" si="26"/>
        <v>555.91436399999998</v>
      </c>
      <c r="O35" s="700">
        <f t="shared" si="26"/>
        <v>277</v>
      </c>
      <c r="P35" s="703">
        <f t="shared" si="26"/>
        <v>119.19654000000001</v>
      </c>
      <c r="R35" s="676"/>
      <c r="S35" s="676"/>
      <c r="T35" s="676"/>
      <c r="U35" s="677">
        <f t="shared" si="1"/>
        <v>0</v>
      </c>
      <c r="W35" s="678"/>
      <c r="X35" s="678"/>
      <c r="Y35" s="678"/>
      <c r="Z35" s="678"/>
      <c r="AA35" s="678"/>
    </row>
    <row r="36" spans="1:27" s="7" customFormat="1" ht="33" customHeight="1">
      <c r="A36" s="1415"/>
      <c r="B36" s="1415"/>
      <c r="C36" s="1415"/>
      <c r="D36" s="1415"/>
      <c r="E36" s="1415"/>
      <c r="F36" s="1415"/>
      <c r="G36" s="1415"/>
      <c r="H36" s="1415"/>
      <c r="I36" s="1415"/>
      <c r="J36" s="1415"/>
      <c r="K36" s="1415"/>
      <c r="L36" s="16"/>
      <c r="M36" s="16"/>
      <c r="N36" s="16"/>
      <c r="O36" s="16"/>
      <c r="P36" s="16"/>
      <c r="R36" s="676"/>
      <c r="S36" s="676"/>
      <c r="T36" s="676"/>
      <c r="W36" s="678"/>
      <c r="X36" s="678"/>
      <c r="Y36" s="678"/>
      <c r="Z36" s="678"/>
      <c r="AA36" s="678"/>
    </row>
    <row r="37" spans="1:27" s="7" customFormat="1">
      <c r="B37" s="16"/>
      <c r="C37" s="16"/>
      <c r="D37" s="704"/>
      <c r="E37" s="16"/>
      <c r="F37" s="704"/>
      <c r="G37" s="705"/>
      <c r="H37" s="16"/>
      <c r="I37" s="704"/>
      <c r="J37" s="16"/>
      <c r="K37" s="704"/>
      <c r="L37" s="16"/>
      <c r="M37" s="16"/>
      <c r="N37" s="16"/>
      <c r="O37" s="16"/>
      <c r="P37" s="16"/>
      <c r="R37" s="676"/>
      <c r="S37" s="676"/>
      <c r="T37" s="676"/>
      <c r="W37" s="678"/>
      <c r="X37" s="678"/>
      <c r="Y37" s="678"/>
      <c r="Z37" s="678"/>
      <c r="AA37" s="678"/>
    </row>
    <row r="38" spans="1:27" s="7" customFormat="1">
      <c r="B38" s="16"/>
      <c r="C38" s="16"/>
      <c r="D38" s="704"/>
      <c r="E38" s="16"/>
      <c r="F38" s="704"/>
      <c r="G38" s="705"/>
      <c r="H38" s="16"/>
      <c r="I38" s="704"/>
      <c r="J38" s="16"/>
      <c r="K38" s="704"/>
      <c r="L38" s="16"/>
      <c r="M38" s="16"/>
      <c r="N38" s="16"/>
      <c r="O38" s="16"/>
      <c r="P38" s="16"/>
      <c r="R38" s="676"/>
      <c r="S38" s="676"/>
      <c r="T38" s="676"/>
      <c r="W38" s="678"/>
      <c r="X38" s="678"/>
      <c r="Y38" s="678"/>
      <c r="Z38" s="678"/>
      <c r="AA38" s="678"/>
    </row>
    <row r="39" spans="1:27" s="7" customFormat="1">
      <c r="B39" s="16"/>
      <c r="C39" s="16"/>
      <c r="D39" s="704"/>
      <c r="E39" s="16"/>
      <c r="F39" s="704"/>
      <c r="G39" s="705"/>
      <c r="H39" s="16"/>
      <c r="I39" s="704"/>
      <c r="J39" s="16"/>
      <c r="K39" s="704"/>
      <c r="L39" s="16"/>
      <c r="M39" s="16"/>
      <c r="N39" s="16"/>
      <c r="O39" s="16"/>
      <c r="P39" s="16"/>
      <c r="R39" s="676"/>
      <c r="S39" s="676"/>
      <c r="T39" s="676"/>
      <c r="W39" s="678"/>
      <c r="X39" s="678"/>
      <c r="Y39" s="678"/>
      <c r="Z39" s="678"/>
      <c r="AA39" s="678"/>
    </row>
    <row r="40" spans="1:27" s="7" customFormat="1">
      <c r="B40" s="16"/>
      <c r="C40" s="16"/>
      <c r="D40" s="704"/>
      <c r="E40" s="16"/>
      <c r="F40" s="704"/>
      <c r="G40" s="705"/>
      <c r="H40" s="16"/>
      <c r="I40" s="704"/>
      <c r="J40" s="16"/>
      <c r="K40" s="704"/>
      <c r="L40" s="16"/>
      <c r="M40" s="16"/>
      <c r="N40" s="16"/>
      <c r="O40" s="16"/>
      <c r="P40" s="16"/>
      <c r="R40" s="676"/>
      <c r="S40" s="676"/>
      <c r="T40" s="676"/>
      <c r="W40" s="678"/>
      <c r="X40" s="678"/>
      <c r="Y40" s="678"/>
      <c r="Z40" s="678"/>
      <c r="AA40" s="678"/>
    </row>
    <row r="41" spans="1:27" s="7" customFormat="1">
      <c r="B41" s="16"/>
      <c r="C41" s="16"/>
      <c r="D41" s="704"/>
      <c r="E41" s="16"/>
      <c r="F41" s="704"/>
      <c r="G41" s="705"/>
      <c r="H41" s="16"/>
      <c r="I41" s="704"/>
      <c r="J41" s="16"/>
      <c r="K41" s="704"/>
      <c r="L41" s="16"/>
      <c r="M41" s="16"/>
      <c r="N41" s="16"/>
      <c r="O41" s="16"/>
      <c r="P41" s="16"/>
      <c r="R41" s="676"/>
      <c r="S41" s="676"/>
      <c r="T41" s="676"/>
      <c r="W41" s="678"/>
      <c r="X41" s="678"/>
      <c r="Y41" s="678"/>
      <c r="Z41" s="678"/>
      <c r="AA41" s="678"/>
    </row>
    <row r="42" spans="1:27" s="7" customFormat="1">
      <c r="B42" s="16"/>
      <c r="C42" s="16"/>
      <c r="D42" s="704"/>
      <c r="E42" s="16"/>
      <c r="F42" s="704"/>
      <c r="G42" s="705"/>
      <c r="H42" s="16"/>
      <c r="I42" s="704"/>
      <c r="J42" s="16"/>
      <c r="K42" s="704"/>
      <c r="L42" s="16"/>
      <c r="M42" s="16"/>
      <c r="N42" s="16"/>
      <c r="O42" s="16"/>
      <c r="P42" s="16"/>
      <c r="R42" s="676"/>
      <c r="S42" s="676"/>
      <c r="T42" s="676"/>
      <c r="W42" s="678"/>
      <c r="X42" s="678"/>
      <c r="Y42" s="678"/>
      <c r="Z42" s="678"/>
      <c r="AA42" s="678"/>
    </row>
    <row r="43" spans="1:27" s="7" customFormat="1">
      <c r="B43" s="16"/>
      <c r="C43" s="16"/>
      <c r="D43" s="704"/>
      <c r="E43" s="16"/>
      <c r="F43" s="704"/>
      <c r="G43" s="705"/>
      <c r="H43" s="16"/>
      <c r="I43" s="704"/>
      <c r="J43" s="16"/>
      <c r="K43" s="704"/>
      <c r="L43" s="16"/>
      <c r="M43" s="16"/>
      <c r="N43" s="16"/>
      <c r="O43" s="16"/>
      <c r="P43" s="16"/>
      <c r="R43" s="676"/>
      <c r="S43" s="676"/>
      <c r="T43" s="676"/>
      <c r="W43" s="678"/>
      <c r="X43" s="678"/>
      <c r="Y43" s="678"/>
      <c r="Z43" s="678"/>
      <c r="AA43" s="678"/>
    </row>
    <row r="44" spans="1:27" s="7" customFormat="1">
      <c r="B44" s="16"/>
      <c r="C44" s="16"/>
      <c r="D44" s="704"/>
      <c r="E44" s="16"/>
      <c r="F44" s="704"/>
      <c r="G44" s="705"/>
      <c r="H44" s="16"/>
      <c r="I44" s="704"/>
      <c r="J44" s="16"/>
      <c r="K44" s="704"/>
      <c r="L44" s="16"/>
      <c r="M44" s="16"/>
      <c r="N44" s="16"/>
      <c r="O44" s="16"/>
      <c r="P44" s="16"/>
      <c r="R44" s="676"/>
      <c r="S44" s="676"/>
      <c r="T44" s="676"/>
      <c r="W44" s="678"/>
      <c r="X44" s="678"/>
      <c r="Y44" s="678"/>
      <c r="Z44" s="678"/>
      <c r="AA44" s="678"/>
    </row>
    <row r="45" spans="1:27" s="7" customFormat="1">
      <c r="B45" s="16"/>
      <c r="C45" s="16"/>
      <c r="D45" s="704"/>
      <c r="E45" s="16"/>
      <c r="F45" s="704"/>
      <c r="G45" s="705"/>
      <c r="H45" s="16"/>
      <c r="I45" s="704"/>
      <c r="J45" s="16"/>
      <c r="K45" s="704"/>
      <c r="L45" s="16"/>
      <c r="M45" s="16"/>
      <c r="N45" s="16"/>
      <c r="O45" s="16"/>
      <c r="P45" s="16"/>
      <c r="R45" s="676"/>
      <c r="S45" s="676"/>
      <c r="T45" s="676"/>
      <c r="W45" s="678"/>
      <c r="X45" s="678"/>
      <c r="Y45" s="678"/>
      <c r="Z45" s="678"/>
      <c r="AA45" s="678"/>
    </row>
    <row r="46" spans="1:27" s="7" customFormat="1">
      <c r="B46" s="16"/>
      <c r="C46" s="16"/>
      <c r="D46" s="704"/>
      <c r="E46" s="16"/>
      <c r="F46" s="704"/>
      <c r="G46" s="705"/>
      <c r="H46" s="16"/>
      <c r="I46" s="704"/>
      <c r="J46" s="16"/>
      <c r="K46" s="704"/>
      <c r="L46" s="16"/>
      <c r="M46" s="16"/>
      <c r="N46" s="16"/>
      <c r="O46" s="16"/>
      <c r="P46" s="16"/>
      <c r="R46" s="676"/>
      <c r="S46" s="676"/>
      <c r="T46" s="676"/>
      <c r="W46" s="678"/>
      <c r="X46" s="678"/>
      <c r="Y46" s="678"/>
      <c r="Z46" s="678"/>
      <c r="AA46" s="678"/>
    </row>
    <row r="47" spans="1:27" s="7" customFormat="1">
      <c r="B47" s="16"/>
      <c r="C47" s="16"/>
      <c r="D47" s="704"/>
      <c r="E47" s="16"/>
      <c r="F47" s="704"/>
      <c r="G47" s="705"/>
      <c r="H47" s="16"/>
      <c r="I47" s="704"/>
      <c r="J47" s="16"/>
      <c r="K47" s="704"/>
      <c r="L47" s="16"/>
      <c r="M47" s="16"/>
      <c r="N47" s="16"/>
      <c r="O47" s="16"/>
      <c r="P47" s="16"/>
      <c r="R47" s="676"/>
      <c r="S47" s="676"/>
      <c r="T47" s="676"/>
      <c r="W47" s="678"/>
      <c r="X47" s="678"/>
      <c r="Y47" s="678"/>
      <c r="Z47" s="678"/>
      <c r="AA47" s="678"/>
    </row>
    <row r="48" spans="1:27" s="7" customFormat="1">
      <c r="B48" s="16"/>
      <c r="C48" s="16"/>
      <c r="D48" s="704"/>
      <c r="E48" s="16"/>
      <c r="F48" s="704"/>
      <c r="G48" s="705"/>
      <c r="H48" s="16"/>
      <c r="I48" s="704"/>
      <c r="J48" s="16"/>
      <c r="K48" s="704"/>
      <c r="L48" s="16"/>
      <c r="M48" s="16"/>
      <c r="N48" s="16"/>
      <c r="O48" s="16"/>
      <c r="P48" s="16"/>
      <c r="R48" s="676"/>
      <c r="S48" s="676"/>
      <c r="T48" s="676"/>
      <c r="W48" s="678"/>
      <c r="X48" s="678"/>
      <c r="Y48" s="678"/>
      <c r="Z48" s="678"/>
      <c r="AA48" s="678"/>
    </row>
    <row r="49" spans="2:27" s="7" customFormat="1">
      <c r="B49" s="16"/>
      <c r="C49" s="16"/>
      <c r="D49" s="704"/>
      <c r="E49" s="16"/>
      <c r="F49" s="704"/>
      <c r="G49" s="705"/>
      <c r="H49" s="16"/>
      <c r="I49" s="704"/>
      <c r="J49" s="16"/>
      <c r="K49" s="704"/>
      <c r="L49" s="16"/>
      <c r="M49" s="16"/>
      <c r="N49" s="16"/>
      <c r="O49" s="16"/>
      <c r="P49" s="16"/>
      <c r="R49" s="676"/>
      <c r="S49" s="676"/>
      <c r="T49" s="676"/>
      <c r="W49" s="678"/>
      <c r="X49" s="678"/>
      <c r="Y49" s="678"/>
      <c r="Z49" s="678"/>
      <c r="AA49" s="678"/>
    </row>
    <row r="50" spans="2:27" s="7" customFormat="1">
      <c r="B50" s="16"/>
      <c r="C50" s="16"/>
      <c r="D50" s="704"/>
      <c r="E50" s="16"/>
      <c r="F50" s="704"/>
      <c r="G50" s="705"/>
      <c r="H50" s="16"/>
      <c r="I50" s="704"/>
      <c r="J50" s="16"/>
      <c r="K50" s="704"/>
      <c r="L50" s="16"/>
      <c r="M50" s="16"/>
      <c r="N50" s="16"/>
      <c r="O50" s="16"/>
      <c r="P50" s="16"/>
      <c r="R50" s="676"/>
      <c r="S50" s="676"/>
      <c r="T50" s="676"/>
      <c r="W50" s="678"/>
      <c r="X50" s="678"/>
      <c r="Y50" s="678"/>
      <c r="Z50" s="678"/>
      <c r="AA50" s="678"/>
    </row>
    <row r="51" spans="2:27" s="7" customFormat="1">
      <c r="B51" s="16"/>
      <c r="C51" s="16"/>
      <c r="D51" s="704"/>
      <c r="E51" s="16"/>
      <c r="F51" s="704"/>
      <c r="G51" s="705"/>
      <c r="H51" s="16"/>
      <c r="I51" s="704"/>
      <c r="J51" s="16"/>
      <c r="K51" s="704"/>
      <c r="L51" s="16"/>
      <c r="M51" s="16"/>
      <c r="N51" s="16"/>
      <c r="O51" s="16"/>
      <c r="P51" s="16"/>
      <c r="R51" s="676"/>
      <c r="S51" s="676"/>
      <c r="T51" s="676"/>
      <c r="W51" s="678"/>
      <c r="X51" s="678"/>
      <c r="Y51" s="678"/>
      <c r="Z51" s="678"/>
      <c r="AA51" s="678"/>
    </row>
    <row r="52" spans="2:27" s="7" customFormat="1">
      <c r="B52" s="16"/>
      <c r="C52" s="16"/>
      <c r="D52" s="704"/>
      <c r="E52" s="16"/>
      <c r="F52" s="704"/>
      <c r="G52" s="705"/>
      <c r="H52" s="16"/>
      <c r="I52" s="704"/>
      <c r="J52" s="16"/>
      <c r="K52" s="704"/>
      <c r="L52" s="16"/>
      <c r="M52" s="16"/>
      <c r="N52" s="16"/>
      <c r="O52" s="16"/>
      <c r="P52" s="16"/>
      <c r="R52" s="676"/>
      <c r="S52" s="676"/>
      <c r="T52" s="676"/>
      <c r="W52" s="678"/>
      <c r="X52" s="678"/>
      <c r="Y52" s="678"/>
      <c r="Z52" s="678"/>
      <c r="AA52" s="678"/>
    </row>
    <row r="53" spans="2:27" s="7" customFormat="1">
      <c r="B53" s="16"/>
      <c r="C53" s="16"/>
      <c r="D53" s="704"/>
      <c r="E53" s="16"/>
      <c r="F53" s="704"/>
      <c r="G53" s="705"/>
      <c r="H53" s="16"/>
      <c r="I53" s="704"/>
      <c r="J53" s="16"/>
      <c r="K53" s="704"/>
      <c r="L53" s="16"/>
      <c r="M53" s="16"/>
      <c r="N53" s="16"/>
      <c r="O53" s="16"/>
      <c r="P53" s="16"/>
      <c r="R53" s="676"/>
      <c r="S53" s="676"/>
      <c r="T53" s="676"/>
      <c r="W53" s="678"/>
      <c r="X53" s="678"/>
      <c r="Y53" s="678"/>
      <c r="Z53" s="678"/>
      <c r="AA53" s="678"/>
    </row>
    <row r="54" spans="2:27" s="7" customFormat="1">
      <c r="B54" s="16"/>
      <c r="C54" s="16"/>
      <c r="D54" s="704"/>
      <c r="E54" s="16"/>
      <c r="F54" s="704"/>
      <c r="G54" s="705"/>
      <c r="H54" s="16"/>
      <c r="I54" s="704"/>
      <c r="J54" s="16"/>
      <c r="K54" s="704"/>
      <c r="L54" s="16"/>
      <c r="M54" s="16"/>
      <c r="N54" s="16"/>
      <c r="O54" s="16"/>
      <c r="P54" s="16"/>
      <c r="R54" s="676"/>
      <c r="S54" s="676"/>
      <c r="T54" s="676"/>
      <c r="W54" s="678"/>
      <c r="X54" s="678"/>
      <c r="Y54" s="678"/>
      <c r="Z54" s="678"/>
      <c r="AA54" s="678"/>
    </row>
    <row r="55" spans="2:27" s="7" customFormat="1">
      <c r="B55" s="16"/>
      <c r="C55" s="16"/>
      <c r="D55" s="704"/>
      <c r="E55" s="16"/>
      <c r="F55" s="704"/>
      <c r="G55" s="705"/>
      <c r="H55" s="16"/>
      <c r="I55" s="704"/>
      <c r="J55" s="16"/>
      <c r="K55" s="704"/>
      <c r="L55" s="16"/>
      <c r="M55" s="16"/>
      <c r="N55" s="16"/>
      <c r="O55" s="16"/>
      <c r="P55" s="16"/>
      <c r="R55" s="676"/>
      <c r="S55" s="676"/>
      <c r="T55" s="676"/>
      <c r="W55" s="678"/>
      <c r="X55" s="678"/>
      <c r="Y55" s="678"/>
      <c r="Z55" s="678"/>
      <c r="AA55" s="678"/>
    </row>
    <row r="56" spans="2:27" s="7" customFormat="1">
      <c r="B56" s="16"/>
      <c r="C56" s="16"/>
      <c r="D56" s="704"/>
      <c r="E56" s="16"/>
      <c r="F56" s="704"/>
      <c r="G56" s="705"/>
      <c r="H56" s="16"/>
      <c r="I56" s="704"/>
      <c r="J56" s="16"/>
      <c r="K56" s="704"/>
      <c r="L56" s="16"/>
      <c r="M56" s="16"/>
      <c r="N56" s="16"/>
      <c r="O56" s="16"/>
      <c r="P56" s="16"/>
      <c r="R56" s="676"/>
      <c r="S56" s="676"/>
      <c r="T56" s="676"/>
      <c r="W56" s="678"/>
      <c r="X56" s="678"/>
      <c r="Y56" s="678"/>
      <c r="Z56" s="678"/>
      <c r="AA56" s="678"/>
    </row>
    <row r="57" spans="2:27" s="7" customFormat="1">
      <c r="B57" s="16"/>
      <c r="C57" s="16"/>
      <c r="D57" s="704"/>
      <c r="E57" s="16"/>
      <c r="F57" s="704"/>
      <c r="G57" s="705"/>
      <c r="H57" s="16"/>
      <c r="I57" s="704"/>
      <c r="J57" s="16"/>
      <c r="K57" s="704"/>
      <c r="L57" s="16"/>
      <c r="M57" s="16"/>
      <c r="N57" s="16"/>
      <c r="O57" s="16"/>
      <c r="P57" s="16"/>
      <c r="R57" s="676"/>
      <c r="S57" s="676"/>
      <c r="T57" s="676"/>
      <c r="W57" s="678"/>
      <c r="X57" s="678"/>
      <c r="Y57" s="678"/>
      <c r="Z57" s="678"/>
      <c r="AA57" s="678"/>
    </row>
    <row r="58" spans="2:27" s="7" customFormat="1">
      <c r="B58" s="16"/>
      <c r="C58" s="16"/>
      <c r="D58" s="704"/>
      <c r="E58" s="16"/>
      <c r="F58" s="704"/>
      <c r="G58" s="705"/>
      <c r="H58" s="16"/>
      <c r="I58" s="704"/>
      <c r="J58" s="16"/>
      <c r="K58" s="704"/>
      <c r="L58" s="16"/>
      <c r="M58" s="16"/>
      <c r="N58" s="16"/>
      <c r="O58" s="16"/>
      <c r="P58" s="16"/>
      <c r="R58" s="676"/>
      <c r="S58" s="676"/>
      <c r="T58" s="676"/>
      <c r="W58" s="678"/>
      <c r="X58" s="678"/>
      <c r="Y58" s="678"/>
      <c r="Z58" s="678"/>
      <c r="AA58" s="678"/>
    </row>
    <row r="59" spans="2:27" s="7" customFormat="1">
      <c r="B59" s="16"/>
      <c r="C59" s="16"/>
      <c r="D59" s="704"/>
      <c r="E59" s="16"/>
      <c r="F59" s="704"/>
      <c r="G59" s="705"/>
      <c r="H59" s="16"/>
      <c r="I59" s="704"/>
      <c r="J59" s="16"/>
      <c r="K59" s="704"/>
      <c r="L59" s="16"/>
      <c r="M59" s="16"/>
      <c r="N59" s="16"/>
      <c r="O59" s="16"/>
      <c r="P59" s="16"/>
      <c r="R59" s="676"/>
      <c r="S59" s="676"/>
      <c r="T59" s="676"/>
      <c r="W59" s="678"/>
      <c r="X59" s="678"/>
      <c r="Y59" s="678"/>
      <c r="Z59" s="678"/>
      <c r="AA59" s="678"/>
    </row>
    <row r="60" spans="2:27" s="7" customFormat="1">
      <c r="B60" s="16"/>
      <c r="C60" s="16"/>
      <c r="D60" s="704"/>
      <c r="E60" s="16"/>
      <c r="F60" s="704"/>
      <c r="G60" s="705"/>
      <c r="H60" s="16"/>
      <c r="I60" s="704"/>
      <c r="J60" s="16"/>
      <c r="K60" s="704"/>
      <c r="L60" s="16"/>
      <c r="M60" s="16"/>
      <c r="N60" s="16"/>
      <c r="O60" s="16"/>
      <c r="P60" s="16"/>
      <c r="R60" s="676"/>
      <c r="S60" s="676"/>
      <c r="T60" s="676"/>
      <c r="W60" s="678"/>
      <c r="X60" s="678"/>
      <c r="Y60" s="678"/>
      <c r="Z60" s="678"/>
      <c r="AA60" s="678"/>
    </row>
    <row r="61" spans="2:27" s="7" customFormat="1">
      <c r="B61" s="16"/>
      <c r="C61" s="16"/>
      <c r="D61" s="704"/>
      <c r="E61" s="16"/>
      <c r="F61" s="704"/>
      <c r="G61" s="705"/>
      <c r="H61" s="16"/>
      <c r="I61" s="704"/>
      <c r="J61" s="16"/>
      <c r="K61" s="704"/>
      <c r="L61" s="16"/>
      <c r="M61" s="16"/>
      <c r="N61" s="16"/>
      <c r="O61" s="16"/>
      <c r="P61" s="16"/>
      <c r="R61" s="676"/>
      <c r="S61" s="676"/>
      <c r="T61" s="676"/>
      <c r="W61" s="678"/>
      <c r="X61" s="678"/>
      <c r="Y61" s="678"/>
      <c r="Z61" s="678"/>
      <c r="AA61" s="678"/>
    </row>
    <row r="62" spans="2:27" s="7" customFormat="1">
      <c r="B62" s="16"/>
      <c r="C62" s="16"/>
      <c r="D62" s="704"/>
      <c r="E62" s="16"/>
      <c r="F62" s="704"/>
      <c r="G62" s="705"/>
      <c r="H62" s="16"/>
      <c r="I62" s="704"/>
      <c r="J62" s="16"/>
      <c r="K62" s="704"/>
      <c r="L62" s="16"/>
      <c r="M62" s="16"/>
      <c r="N62" s="16"/>
      <c r="O62" s="16"/>
      <c r="P62" s="16"/>
      <c r="R62" s="676"/>
      <c r="S62" s="676"/>
      <c r="T62" s="676"/>
      <c r="W62" s="678"/>
      <c r="X62" s="678"/>
      <c r="Y62" s="678"/>
      <c r="Z62" s="678"/>
      <c r="AA62" s="678"/>
    </row>
    <row r="63" spans="2:27" s="7" customFormat="1">
      <c r="B63" s="16"/>
      <c r="C63" s="16"/>
      <c r="D63" s="704"/>
      <c r="E63" s="16"/>
      <c r="F63" s="704"/>
      <c r="G63" s="705"/>
      <c r="H63" s="16"/>
      <c r="I63" s="704"/>
      <c r="J63" s="16"/>
      <c r="K63" s="704"/>
      <c r="L63" s="16"/>
      <c r="M63" s="16"/>
      <c r="N63" s="16"/>
      <c r="O63" s="16"/>
      <c r="P63" s="16"/>
      <c r="R63" s="676"/>
      <c r="S63" s="676"/>
      <c r="T63" s="676"/>
      <c r="W63" s="678"/>
      <c r="X63" s="678"/>
      <c r="Y63" s="678"/>
      <c r="Z63" s="678"/>
      <c r="AA63" s="678"/>
    </row>
    <row r="64" spans="2:27" s="7" customFormat="1">
      <c r="B64" s="16"/>
      <c r="C64" s="16"/>
      <c r="D64" s="704"/>
      <c r="E64" s="16"/>
      <c r="F64" s="704"/>
      <c r="G64" s="705"/>
      <c r="H64" s="16"/>
      <c r="I64" s="704"/>
      <c r="J64" s="16"/>
      <c r="K64" s="704"/>
      <c r="L64" s="16"/>
      <c r="M64" s="16"/>
      <c r="N64" s="16"/>
      <c r="O64" s="16"/>
      <c r="P64" s="16"/>
      <c r="R64" s="676"/>
      <c r="S64" s="676"/>
      <c r="T64" s="676"/>
      <c r="W64" s="678"/>
      <c r="X64" s="678"/>
      <c r="Y64" s="678"/>
      <c r="Z64" s="678"/>
      <c r="AA64" s="678"/>
    </row>
  </sheetData>
  <mergeCells count="21">
    <mergeCell ref="O1:P1"/>
    <mergeCell ref="A2:P2"/>
    <mergeCell ref="A3:K3"/>
    <mergeCell ref="O5:P5"/>
    <mergeCell ref="A6:P6"/>
    <mergeCell ref="M8:N8"/>
    <mergeCell ref="O8:P8"/>
    <mergeCell ref="W9:Y9"/>
    <mergeCell ref="Z9:AB9"/>
    <mergeCell ref="A36:K36"/>
    <mergeCell ref="C8:D8"/>
    <mergeCell ref="E8:F8"/>
    <mergeCell ref="G8:G9"/>
    <mergeCell ref="H8:I8"/>
    <mergeCell ref="J8:K8"/>
    <mergeCell ref="L8:L9"/>
    <mergeCell ref="A7:A9"/>
    <mergeCell ref="B7:F7"/>
    <mergeCell ref="G7:K7"/>
    <mergeCell ref="L7:P7"/>
    <mergeCell ref="B8:B9"/>
  </mergeCells>
  <printOptions horizontalCentered="1"/>
  <pageMargins left="0.25" right="0.25" top="0.25" bottom="0.25" header="0.25" footer="0.2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74"/>
  <sheetViews>
    <sheetView view="pageBreakPreview" topLeftCell="A244" zoomScale="90" zoomScaleSheetLayoutView="90" workbookViewId="0">
      <selection activeCell="A5" sqref="A5:P5"/>
    </sheetView>
  </sheetViews>
  <sheetFormatPr defaultColWidth="9.140625" defaultRowHeight="15"/>
  <cols>
    <col min="1" max="1" width="14" style="1" customWidth="1"/>
    <col min="2" max="3" width="7.7109375" style="186" customWidth="1"/>
    <col min="4" max="4" width="10.7109375" style="653" customWidth="1"/>
    <col min="5" max="5" width="7.7109375" style="186" customWidth="1"/>
    <col min="6" max="6" width="10.7109375" style="653" customWidth="1"/>
    <col min="7" max="7" width="7.7109375" style="654" customWidth="1"/>
    <col min="8" max="8" width="7.7109375" style="186" customWidth="1"/>
    <col min="9" max="9" width="10.7109375" style="653" customWidth="1"/>
    <col min="10" max="10" width="7.7109375" style="186" customWidth="1"/>
    <col min="11" max="11" width="10.7109375" style="653" customWidth="1"/>
    <col min="12" max="13" width="7.7109375" style="186" customWidth="1"/>
    <col min="14" max="14" width="10.7109375" style="186" customWidth="1"/>
    <col min="15" max="15" width="7.7109375" style="186" customWidth="1"/>
    <col min="16" max="16" width="12.28515625" style="727" customWidth="1"/>
    <col min="17" max="17" width="9.140625" style="1"/>
    <col min="18" max="18" width="15" style="656" bestFit="1" customWidth="1"/>
    <col min="19" max="19" width="15.28515625" style="656" customWidth="1"/>
    <col min="20" max="20" width="11.140625" style="656" bestFit="1" customWidth="1"/>
    <col min="21" max="21" width="13.7109375" style="656" bestFit="1" customWidth="1"/>
    <col min="22" max="22" width="13.7109375" style="656" customWidth="1"/>
    <col min="23" max="23" width="12.85546875" style="1" bestFit="1" customWidth="1"/>
    <col min="24" max="255" width="9.140625" style="1"/>
    <col min="256" max="256" width="6.85546875" style="1" customWidth="1"/>
    <col min="257" max="257" width="11.140625" style="1" customWidth="1"/>
    <col min="258" max="258" width="8.42578125" style="1" bestFit="1" customWidth="1"/>
    <col min="259" max="259" width="12.5703125" style="1" customWidth="1"/>
    <col min="260" max="260" width="9.85546875" style="1" bestFit="1" customWidth="1"/>
    <col min="261" max="261" width="12.5703125" style="1" customWidth="1"/>
    <col min="262" max="262" width="11.42578125" style="1" bestFit="1" customWidth="1"/>
    <col min="263" max="263" width="8.42578125" style="1" bestFit="1" customWidth="1"/>
    <col min="264" max="264" width="12.5703125" style="1" customWidth="1"/>
    <col min="265" max="265" width="8.42578125" style="1" bestFit="1" customWidth="1"/>
    <col min="266" max="266" width="12.5703125" style="1" customWidth="1"/>
    <col min="267" max="269" width="12.140625" style="1" customWidth="1"/>
    <col min="270" max="511" width="9.140625" style="1"/>
    <col min="512" max="512" width="6.85546875" style="1" customWidth="1"/>
    <col min="513" max="513" width="11.140625" style="1" customWidth="1"/>
    <col min="514" max="514" width="8.42578125" style="1" bestFit="1" customWidth="1"/>
    <col min="515" max="515" width="12.5703125" style="1" customWidth="1"/>
    <col min="516" max="516" width="9.85546875" style="1" bestFit="1" customWidth="1"/>
    <col min="517" max="517" width="12.5703125" style="1" customWidth="1"/>
    <col min="518" max="518" width="11.42578125" style="1" bestFit="1" customWidth="1"/>
    <col min="519" max="519" width="8.42578125" style="1" bestFit="1" customWidth="1"/>
    <col min="520" max="520" width="12.5703125" style="1" customWidth="1"/>
    <col min="521" max="521" width="8.42578125" style="1" bestFit="1" customWidth="1"/>
    <col min="522" max="522" width="12.5703125" style="1" customWidth="1"/>
    <col min="523" max="525" width="12.140625" style="1" customWidth="1"/>
    <col min="526" max="767" width="9.140625" style="1"/>
    <col min="768" max="768" width="6.85546875" style="1" customWidth="1"/>
    <col min="769" max="769" width="11.140625" style="1" customWidth="1"/>
    <col min="770" max="770" width="8.42578125" style="1" bestFit="1" customWidth="1"/>
    <col min="771" max="771" width="12.5703125" style="1" customWidth="1"/>
    <col min="772" max="772" width="9.85546875" style="1" bestFit="1" customWidth="1"/>
    <col min="773" max="773" width="12.5703125" style="1" customWidth="1"/>
    <col min="774" max="774" width="11.42578125" style="1" bestFit="1" customWidth="1"/>
    <col min="775" max="775" width="8.42578125" style="1" bestFit="1" customWidth="1"/>
    <col min="776" max="776" width="12.5703125" style="1" customWidth="1"/>
    <col min="777" max="777" width="8.42578125" style="1" bestFit="1" customWidth="1"/>
    <col min="778" max="778" width="12.5703125" style="1" customWidth="1"/>
    <col min="779" max="781" width="12.140625" style="1" customWidth="1"/>
    <col min="782" max="1023" width="9.140625" style="1"/>
    <col min="1024" max="1024" width="6.85546875" style="1" customWidth="1"/>
    <col min="1025" max="1025" width="11.140625" style="1" customWidth="1"/>
    <col min="1026" max="1026" width="8.42578125" style="1" bestFit="1" customWidth="1"/>
    <col min="1027" max="1027" width="12.5703125" style="1" customWidth="1"/>
    <col min="1028" max="1028" width="9.85546875" style="1" bestFit="1" customWidth="1"/>
    <col min="1029" max="1029" width="12.5703125" style="1" customWidth="1"/>
    <col min="1030" max="1030" width="11.42578125" style="1" bestFit="1" customWidth="1"/>
    <col min="1031" max="1031" width="8.42578125" style="1" bestFit="1" customWidth="1"/>
    <col min="1032" max="1032" width="12.5703125" style="1" customWidth="1"/>
    <col min="1033" max="1033" width="8.42578125" style="1" bestFit="1" customWidth="1"/>
    <col min="1034" max="1034" width="12.5703125" style="1" customWidth="1"/>
    <col min="1035" max="1037" width="12.140625" style="1" customWidth="1"/>
    <col min="1038" max="1279" width="9.140625" style="1"/>
    <col min="1280" max="1280" width="6.85546875" style="1" customWidth="1"/>
    <col min="1281" max="1281" width="11.140625" style="1" customWidth="1"/>
    <col min="1282" max="1282" width="8.42578125" style="1" bestFit="1" customWidth="1"/>
    <col min="1283" max="1283" width="12.5703125" style="1" customWidth="1"/>
    <col min="1284" max="1284" width="9.85546875" style="1" bestFit="1" customWidth="1"/>
    <col min="1285" max="1285" width="12.5703125" style="1" customWidth="1"/>
    <col min="1286" max="1286" width="11.42578125" style="1" bestFit="1" customWidth="1"/>
    <col min="1287" max="1287" width="8.42578125" style="1" bestFit="1" customWidth="1"/>
    <col min="1288" max="1288" width="12.5703125" style="1" customWidth="1"/>
    <col min="1289" max="1289" width="8.42578125" style="1" bestFit="1" customWidth="1"/>
    <col min="1290" max="1290" width="12.5703125" style="1" customWidth="1"/>
    <col min="1291" max="1293" width="12.140625" style="1" customWidth="1"/>
    <col min="1294" max="1535" width="9.140625" style="1"/>
    <col min="1536" max="1536" width="6.85546875" style="1" customWidth="1"/>
    <col min="1537" max="1537" width="11.140625" style="1" customWidth="1"/>
    <col min="1538" max="1538" width="8.42578125" style="1" bestFit="1" customWidth="1"/>
    <col min="1539" max="1539" width="12.5703125" style="1" customWidth="1"/>
    <col min="1540" max="1540" width="9.85546875" style="1" bestFit="1" customWidth="1"/>
    <col min="1541" max="1541" width="12.5703125" style="1" customWidth="1"/>
    <col min="1542" max="1542" width="11.42578125" style="1" bestFit="1" customWidth="1"/>
    <col min="1543" max="1543" width="8.42578125" style="1" bestFit="1" customWidth="1"/>
    <col min="1544" max="1544" width="12.5703125" style="1" customWidth="1"/>
    <col min="1545" max="1545" width="8.42578125" style="1" bestFit="1" customWidth="1"/>
    <col min="1546" max="1546" width="12.5703125" style="1" customWidth="1"/>
    <col min="1547" max="1549" width="12.140625" style="1" customWidth="1"/>
    <col min="1550" max="1791" width="9.140625" style="1"/>
    <col min="1792" max="1792" width="6.85546875" style="1" customWidth="1"/>
    <col min="1793" max="1793" width="11.140625" style="1" customWidth="1"/>
    <col min="1794" max="1794" width="8.42578125" style="1" bestFit="1" customWidth="1"/>
    <col min="1795" max="1795" width="12.5703125" style="1" customWidth="1"/>
    <col min="1796" max="1796" width="9.85546875" style="1" bestFit="1" customWidth="1"/>
    <col min="1797" max="1797" width="12.5703125" style="1" customWidth="1"/>
    <col min="1798" max="1798" width="11.42578125" style="1" bestFit="1" customWidth="1"/>
    <col min="1799" max="1799" width="8.42578125" style="1" bestFit="1" customWidth="1"/>
    <col min="1800" max="1800" width="12.5703125" style="1" customWidth="1"/>
    <col min="1801" max="1801" width="8.42578125" style="1" bestFit="1" customWidth="1"/>
    <col min="1802" max="1802" width="12.5703125" style="1" customWidth="1"/>
    <col min="1803" max="1805" width="12.140625" style="1" customWidth="1"/>
    <col min="1806" max="2047" width="9.140625" style="1"/>
    <col min="2048" max="2048" width="6.85546875" style="1" customWidth="1"/>
    <col min="2049" max="2049" width="11.140625" style="1" customWidth="1"/>
    <col min="2050" max="2050" width="8.42578125" style="1" bestFit="1" customWidth="1"/>
    <col min="2051" max="2051" width="12.5703125" style="1" customWidth="1"/>
    <col min="2052" max="2052" width="9.85546875" style="1" bestFit="1" customWidth="1"/>
    <col min="2053" max="2053" width="12.5703125" style="1" customWidth="1"/>
    <col min="2054" max="2054" width="11.42578125" style="1" bestFit="1" customWidth="1"/>
    <col min="2055" max="2055" width="8.42578125" style="1" bestFit="1" customWidth="1"/>
    <col min="2056" max="2056" width="12.5703125" style="1" customWidth="1"/>
    <col min="2057" max="2057" width="8.42578125" style="1" bestFit="1" customWidth="1"/>
    <col min="2058" max="2058" width="12.5703125" style="1" customWidth="1"/>
    <col min="2059" max="2061" width="12.140625" style="1" customWidth="1"/>
    <col min="2062" max="2303" width="9.140625" style="1"/>
    <col min="2304" max="2304" width="6.85546875" style="1" customWidth="1"/>
    <col min="2305" max="2305" width="11.140625" style="1" customWidth="1"/>
    <col min="2306" max="2306" width="8.42578125" style="1" bestFit="1" customWidth="1"/>
    <col min="2307" max="2307" width="12.5703125" style="1" customWidth="1"/>
    <col min="2308" max="2308" width="9.85546875" style="1" bestFit="1" customWidth="1"/>
    <col min="2309" max="2309" width="12.5703125" style="1" customWidth="1"/>
    <col min="2310" max="2310" width="11.42578125" style="1" bestFit="1" customWidth="1"/>
    <col min="2311" max="2311" width="8.42578125" style="1" bestFit="1" customWidth="1"/>
    <col min="2312" max="2312" width="12.5703125" style="1" customWidth="1"/>
    <col min="2313" max="2313" width="8.42578125" style="1" bestFit="1" customWidth="1"/>
    <col min="2314" max="2314" width="12.5703125" style="1" customWidth="1"/>
    <col min="2315" max="2317" width="12.140625" style="1" customWidth="1"/>
    <col min="2318" max="2559" width="9.140625" style="1"/>
    <col min="2560" max="2560" width="6.85546875" style="1" customWidth="1"/>
    <col min="2561" max="2561" width="11.140625" style="1" customWidth="1"/>
    <col min="2562" max="2562" width="8.42578125" style="1" bestFit="1" customWidth="1"/>
    <col min="2563" max="2563" width="12.5703125" style="1" customWidth="1"/>
    <col min="2564" max="2564" width="9.85546875" style="1" bestFit="1" customWidth="1"/>
    <col min="2565" max="2565" width="12.5703125" style="1" customWidth="1"/>
    <col min="2566" max="2566" width="11.42578125" style="1" bestFit="1" customWidth="1"/>
    <col min="2567" max="2567" width="8.42578125" style="1" bestFit="1" customWidth="1"/>
    <col min="2568" max="2568" width="12.5703125" style="1" customWidth="1"/>
    <col min="2569" max="2569" width="8.42578125" style="1" bestFit="1" customWidth="1"/>
    <col min="2570" max="2570" width="12.5703125" style="1" customWidth="1"/>
    <col min="2571" max="2573" width="12.140625" style="1" customWidth="1"/>
    <col min="2574" max="2815" width="9.140625" style="1"/>
    <col min="2816" max="2816" width="6.85546875" style="1" customWidth="1"/>
    <col min="2817" max="2817" width="11.140625" style="1" customWidth="1"/>
    <col min="2818" max="2818" width="8.42578125" style="1" bestFit="1" customWidth="1"/>
    <col min="2819" max="2819" width="12.5703125" style="1" customWidth="1"/>
    <col min="2820" max="2820" width="9.85546875" style="1" bestFit="1" customWidth="1"/>
    <col min="2821" max="2821" width="12.5703125" style="1" customWidth="1"/>
    <col min="2822" max="2822" width="11.42578125" style="1" bestFit="1" customWidth="1"/>
    <col min="2823" max="2823" width="8.42578125" style="1" bestFit="1" customWidth="1"/>
    <col min="2824" max="2824" width="12.5703125" style="1" customWidth="1"/>
    <col min="2825" max="2825" width="8.42578125" style="1" bestFit="1" customWidth="1"/>
    <col min="2826" max="2826" width="12.5703125" style="1" customWidth="1"/>
    <col min="2827" max="2829" width="12.140625" style="1" customWidth="1"/>
    <col min="2830" max="3071" width="9.140625" style="1"/>
    <col min="3072" max="3072" width="6.85546875" style="1" customWidth="1"/>
    <col min="3073" max="3073" width="11.140625" style="1" customWidth="1"/>
    <col min="3074" max="3074" width="8.42578125" style="1" bestFit="1" customWidth="1"/>
    <col min="3075" max="3075" width="12.5703125" style="1" customWidth="1"/>
    <col min="3076" max="3076" width="9.85546875" style="1" bestFit="1" customWidth="1"/>
    <col min="3077" max="3077" width="12.5703125" style="1" customWidth="1"/>
    <col min="3078" max="3078" width="11.42578125" style="1" bestFit="1" customWidth="1"/>
    <col min="3079" max="3079" width="8.42578125" style="1" bestFit="1" customWidth="1"/>
    <col min="3080" max="3080" width="12.5703125" style="1" customWidth="1"/>
    <col min="3081" max="3081" width="8.42578125" style="1" bestFit="1" customWidth="1"/>
    <col min="3082" max="3082" width="12.5703125" style="1" customWidth="1"/>
    <col min="3083" max="3085" width="12.140625" style="1" customWidth="1"/>
    <col min="3086" max="3327" width="9.140625" style="1"/>
    <col min="3328" max="3328" width="6.85546875" style="1" customWidth="1"/>
    <col min="3329" max="3329" width="11.140625" style="1" customWidth="1"/>
    <col min="3330" max="3330" width="8.42578125" style="1" bestFit="1" customWidth="1"/>
    <col min="3331" max="3331" width="12.5703125" style="1" customWidth="1"/>
    <col min="3332" max="3332" width="9.85546875" style="1" bestFit="1" customWidth="1"/>
    <col min="3333" max="3333" width="12.5703125" style="1" customWidth="1"/>
    <col min="3334" max="3334" width="11.42578125" style="1" bestFit="1" customWidth="1"/>
    <col min="3335" max="3335" width="8.42578125" style="1" bestFit="1" customWidth="1"/>
    <col min="3336" max="3336" width="12.5703125" style="1" customWidth="1"/>
    <col min="3337" max="3337" width="8.42578125" style="1" bestFit="1" customWidth="1"/>
    <col min="3338" max="3338" width="12.5703125" style="1" customWidth="1"/>
    <col min="3339" max="3341" width="12.140625" style="1" customWidth="1"/>
    <col min="3342" max="3583" width="9.140625" style="1"/>
    <col min="3584" max="3584" width="6.85546875" style="1" customWidth="1"/>
    <col min="3585" max="3585" width="11.140625" style="1" customWidth="1"/>
    <col min="3586" max="3586" width="8.42578125" style="1" bestFit="1" customWidth="1"/>
    <col min="3587" max="3587" width="12.5703125" style="1" customWidth="1"/>
    <col min="3588" max="3588" width="9.85546875" style="1" bestFit="1" customWidth="1"/>
    <col min="3589" max="3589" width="12.5703125" style="1" customWidth="1"/>
    <col min="3590" max="3590" width="11.42578125" style="1" bestFit="1" customWidth="1"/>
    <col min="3591" max="3591" width="8.42578125" style="1" bestFit="1" customWidth="1"/>
    <col min="3592" max="3592" width="12.5703125" style="1" customWidth="1"/>
    <col min="3593" max="3593" width="8.42578125" style="1" bestFit="1" customWidth="1"/>
    <col min="3594" max="3594" width="12.5703125" style="1" customWidth="1"/>
    <col min="3595" max="3597" width="12.140625" style="1" customWidth="1"/>
    <col min="3598" max="3839" width="9.140625" style="1"/>
    <col min="3840" max="3840" width="6.85546875" style="1" customWidth="1"/>
    <col min="3841" max="3841" width="11.140625" style="1" customWidth="1"/>
    <col min="3842" max="3842" width="8.42578125" style="1" bestFit="1" customWidth="1"/>
    <col min="3843" max="3843" width="12.5703125" style="1" customWidth="1"/>
    <col min="3844" max="3844" width="9.85546875" style="1" bestFit="1" customWidth="1"/>
    <col min="3845" max="3845" width="12.5703125" style="1" customWidth="1"/>
    <col min="3846" max="3846" width="11.42578125" style="1" bestFit="1" customWidth="1"/>
    <col min="3847" max="3847" width="8.42578125" style="1" bestFit="1" customWidth="1"/>
    <col min="3848" max="3848" width="12.5703125" style="1" customWidth="1"/>
    <col min="3849" max="3849" width="8.42578125" style="1" bestFit="1" customWidth="1"/>
    <col min="3850" max="3850" width="12.5703125" style="1" customWidth="1"/>
    <col min="3851" max="3853" width="12.140625" style="1" customWidth="1"/>
    <col min="3854" max="4095" width="9.140625" style="1"/>
    <col min="4096" max="4096" width="6.85546875" style="1" customWidth="1"/>
    <col min="4097" max="4097" width="11.140625" style="1" customWidth="1"/>
    <col min="4098" max="4098" width="8.42578125" style="1" bestFit="1" customWidth="1"/>
    <col min="4099" max="4099" width="12.5703125" style="1" customWidth="1"/>
    <col min="4100" max="4100" width="9.85546875" style="1" bestFit="1" customWidth="1"/>
    <col min="4101" max="4101" width="12.5703125" style="1" customWidth="1"/>
    <col min="4102" max="4102" width="11.42578125" style="1" bestFit="1" customWidth="1"/>
    <col min="4103" max="4103" width="8.42578125" style="1" bestFit="1" customWidth="1"/>
    <col min="4104" max="4104" width="12.5703125" style="1" customWidth="1"/>
    <col min="4105" max="4105" width="8.42578125" style="1" bestFit="1" customWidth="1"/>
    <col min="4106" max="4106" width="12.5703125" style="1" customWidth="1"/>
    <col min="4107" max="4109" width="12.140625" style="1" customWidth="1"/>
    <col min="4110" max="4351" width="9.140625" style="1"/>
    <col min="4352" max="4352" width="6.85546875" style="1" customWidth="1"/>
    <col min="4353" max="4353" width="11.140625" style="1" customWidth="1"/>
    <col min="4354" max="4354" width="8.42578125" style="1" bestFit="1" customWidth="1"/>
    <col min="4355" max="4355" width="12.5703125" style="1" customWidth="1"/>
    <col min="4356" max="4356" width="9.85546875" style="1" bestFit="1" customWidth="1"/>
    <col min="4357" max="4357" width="12.5703125" style="1" customWidth="1"/>
    <col min="4358" max="4358" width="11.42578125" style="1" bestFit="1" customWidth="1"/>
    <col min="4359" max="4359" width="8.42578125" style="1" bestFit="1" customWidth="1"/>
    <col min="4360" max="4360" width="12.5703125" style="1" customWidth="1"/>
    <col min="4361" max="4361" width="8.42578125" style="1" bestFit="1" customWidth="1"/>
    <col min="4362" max="4362" width="12.5703125" style="1" customWidth="1"/>
    <col min="4363" max="4365" width="12.140625" style="1" customWidth="1"/>
    <col min="4366" max="4607" width="9.140625" style="1"/>
    <col min="4608" max="4608" width="6.85546875" style="1" customWidth="1"/>
    <col min="4609" max="4609" width="11.140625" style="1" customWidth="1"/>
    <col min="4610" max="4610" width="8.42578125" style="1" bestFit="1" customWidth="1"/>
    <col min="4611" max="4611" width="12.5703125" style="1" customWidth="1"/>
    <col min="4612" max="4612" width="9.85546875" style="1" bestFit="1" customWidth="1"/>
    <col min="4613" max="4613" width="12.5703125" style="1" customWidth="1"/>
    <col min="4614" max="4614" width="11.42578125" style="1" bestFit="1" customWidth="1"/>
    <col min="4615" max="4615" width="8.42578125" style="1" bestFit="1" customWidth="1"/>
    <col min="4616" max="4616" width="12.5703125" style="1" customWidth="1"/>
    <col min="4617" max="4617" width="8.42578125" style="1" bestFit="1" customWidth="1"/>
    <col min="4618" max="4618" width="12.5703125" style="1" customWidth="1"/>
    <col min="4619" max="4621" width="12.140625" style="1" customWidth="1"/>
    <col min="4622" max="4863" width="9.140625" style="1"/>
    <col min="4864" max="4864" width="6.85546875" style="1" customWidth="1"/>
    <col min="4865" max="4865" width="11.140625" style="1" customWidth="1"/>
    <col min="4866" max="4866" width="8.42578125" style="1" bestFit="1" customWidth="1"/>
    <col min="4867" max="4867" width="12.5703125" style="1" customWidth="1"/>
    <col min="4868" max="4868" width="9.85546875" style="1" bestFit="1" customWidth="1"/>
    <col min="4869" max="4869" width="12.5703125" style="1" customWidth="1"/>
    <col min="4870" max="4870" width="11.42578125" style="1" bestFit="1" customWidth="1"/>
    <col min="4871" max="4871" width="8.42578125" style="1" bestFit="1" customWidth="1"/>
    <col min="4872" max="4872" width="12.5703125" style="1" customWidth="1"/>
    <col min="4873" max="4873" width="8.42578125" style="1" bestFit="1" customWidth="1"/>
    <col min="4874" max="4874" width="12.5703125" style="1" customWidth="1"/>
    <col min="4875" max="4877" width="12.140625" style="1" customWidth="1"/>
    <col min="4878" max="5119" width="9.140625" style="1"/>
    <col min="5120" max="5120" width="6.85546875" style="1" customWidth="1"/>
    <col min="5121" max="5121" width="11.140625" style="1" customWidth="1"/>
    <col min="5122" max="5122" width="8.42578125" style="1" bestFit="1" customWidth="1"/>
    <col min="5123" max="5123" width="12.5703125" style="1" customWidth="1"/>
    <col min="5124" max="5124" width="9.85546875" style="1" bestFit="1" customWidth="1"/>
    <col min="5125" max="5125" width="12.5703125" style="1" customWidth="1"/>
    <col min="5126" max="5126" width="11.42578125" style="1" bestFit="1" customWidth="1"/>
    <col min="5127" max="5127" width="8.42578125" style="1" bestFit="1" customWidth="1"/>
    <col min="5128" max="5128" width="12.5703125" style="1" customWidth="1"/>
    <col min="5129" max="5129" width="8.42578125" style="1" bestFit="1" customWidth="1"/>
    <col min="5130" max="5130" width="12.5703125" style="1" customWidth="1"/>
    <col min="5131" max="5133" width="12.140625" style="1" customWidth="1"/>
    <col min="5134" max="5375" width="9.140625" style="1"/>
    <col min="5376" max="5376" width="6.85546875" style="1" customWidth="1"/>
    <col min="5377" max="5377" width="11.140625" style="1" customWidth="1"/>
    <col min="5378" max="5378" width="8.42578125" style="1" bestFit="1" customWidth="1"/>
    <col min="5379" max="5379" width="12.5703125" style="1" customWidth="1"/>
    <col min="5380" max="5380" width="9.85546875" style="1" bestFit="1" customWidth="1"/>
    <col min="5381" max="5381" width="12.5703125" style="1" customWidth="1"/>
    <col min="5382" max="5382" width="11.42578125" style="1" bestFit="1" customWidth="1"/>
    <col min="5383" max="5383" width="8.42578125" style="1" bestFit="1" customWidth="1"/>
    <col min="5384" max="5384" width="12.5703125" style="1" customWidth="1"/>
    <col min="5385" max="5385" width="8.42578125" style="1" bestFit="1" customWidth="1"/>
    <col min="5386" max="5386" width="12.5703125" style="1" customWidth="1"/>
    <col min="5387" max="5389" width="12.140625" style="1" customWidth="1"/>
    <col min="5390" max="5631" width="9.140625" style="1"/>
    <col min="5632" max="5632" width="6.85546875" style="1" customWidth="1"/>
    <col min="5633" max="5633" width="11.140625" style="1" customWidth="1"/>
    <col min="5634" max="5634" width="8.42578125" style="1" bestFit="1" customWidth="1"/>
    <col min="5635" max="5635" width="12.5703125" style="1" customWidth="1"/>
    <col min="5636" max="5636" width="9.85546875" style="1" bestFit="1" customWidth="1"/>
    <col min="5637" max="5637" width="12.5703125" style="1" customWidth="1"/>
    <col min="5638" max="5638" width="11.42578125" style="1" bestFit="1" customWidth="1"/>
    <col min="5639" max="5639" width="8.42578125" style="1" bestFit="1" customWidth="1"/>
    <col min="5640" max="5640" width="12.5703125" style="1" customWidth="1"/>
    <col min="5641" max="5641" width="8.42578125" style="1" bestFit="1" customWidth="1"/>
    <col min="5642" max="5642" width="12.5703125" style="1" customWidth="1"/>
    <col min="5643" max="5645" width="12.140625" style="1" customWidth="1"/>
    <col min="5646" max="5887" width="9.140625" style="1"/>
    <col min="5888" max="5888" width="6.85546875" style="1" customWidth="1"/>
    <col min="5889" max="5889" width="11.140625" style="1" customWidth="1"/>
    <col min="5890" max="5890" width="8.42578125" style="1" bestFit="1" customWidth="1"/>
    <col min="5891" max="5891" width="12.5703125" style="1" customWidth="1"/>
    <col min="5892" max="5892" width="9.85546875" style="1" bestFit="1" customWidth="1"/>
    <col min="5893" max="5893" width="12.5703125" style="1" customWidth="1"/>
    <col min="5894" max="5894" width="11.42578125" style="1" bestFit="1" customWidth="1"/>
    <col min="5895" max="5895" width="8.42578125" style="1" bestFit="1" customWidth="1"/>
    <col min="5896" max="5896" width="12.5703125" style="1" customWidth="1"/>
    <col min="5897" max="5897" width="8.42578125" style="1" bestFit="1" customWidth="1"/>
    <col min="5898" max="5898" width="12.5703125" style="1" customWidth="1"/>
    <col min="5899" max="5901" width="12.140625" style="1" customWidth="1"/>
    <col min="5902" max="6143" width="9.140625" style="1"/>
    <col min="6144" max="6144" width="6.85546875" style="1" customWidth="1"/>
    <col min="6145" max="6145" width="11.140625" style="1" customWidth="1"/>
    <col min="6146" max="6146" width="8.42578125" style="1" bestFit="1" customWidth="1"/>
    <col min="6147" max="6147" width="12.5703125" style="1" customWidth="1"/>
    <col min="6148" max="6148" width="9.85546875" style="1" bestFit="1" customWidth="1"/>
    <col min="6149" max="6149" width="12.5703125" style="1" customWidth="1"/>
    <col min="6150" max="6150" width="11.42578125" style="1" bestFit="1" customWidth="1"/>
    <col min="6151" max="6151" width="8.42578125" style="1" bestFit="1" customWidth="1"/>
    <col min="6152" max="6152" width="12.5703125" style="1" customWidth="1"/>
    <col min="6153" max="6153" width="8.42578125" style="1" bestFit="1" customWidth="1"/>
    <col min="6154" max="6154" width="12.5703125" style="1" customWidth="1"/>
    <col min="6155" max="6157" width="12.140625" style="1" customWidth="1"/>
    <col min="6158" max="6399" width="9.140625" style="1"/>
    <col min="6400" max="6400" width="6.85546875" style="1" customWidth="1"/>
    <col min="6401" max="6401" width="11.140625" style="1" customWidth="1"/>
    <col min="6402" max="6402" width="8.42578125" style="1" bestFit="1" customWidth="1"/>
    <col min="6403" max="6403" width="12.5703125" style="1" customWidth="1"/>
    <col min="6404" max="6404" width="9.85546875" style="1" bestFit="1" customWidth="1"/>
    <col min="6405" max="6405" width="12.5703125" style="1" customWidth="1"/>
    <col min="6406" max="6406" width="11.42578125" style="1" bestFit="1" customWidth="1"/>
    <col min="6407" max="6407" width="8.42578125" style="1" bestFit="1" customWidth="1"/>
    <col min="6408" max="6408" width="12.5703125" style="1" customWidth="1"/>
    <col min="6409" max="6409" width="8.42578125" style="1" bestFit="1" customWidth="1"/>
    <col min="6410" max="6410" width="12.5703125" style="1" customWidth="1"/>
    <col min="6411" max="6413" width="12.140625" style="1" customWidth="1"/>
    <col min="6414" max="6655" width="9.140625" style="1"/>
    <col min="6656" max="6656" width="6.85546875" style="1" customWidth="1"/>
    <col min="6657" max="6657" width="11.140625" style="1" customWidth="1"/>
    <col min="6658" max="6658" width="8.42578125" style="1" bestFit="1" customWidth="1"/>
    <col min="6659" max="6659" width="12.5703125" style="1" customWidth="1"/>
    <col min="6660" max="6660" width="9.85546875" style="1" bestFit="1" customWidth="1"/>
    <col min="6661" max="6661" width="12.5703125" style="1" customWidth="1"/>
    <col min="6662" max="6662" width="11.42578125" style="1" bestFit="1" customWidth="1"/>
    <col min="6663" max="6663" width="8.42578125" style="1" bestFit="1" customWidth="1"/>
    <col min="6664" max="6664" width="12.5703125" style="1" customWidth="1"/>
    <col min="6665" max="6665" width="8.42578125" style="1" bestFit="1" customWidth="1"/>
    <col min="6666" max="6666" width="12.5703125" style="1" customWidth="1"/>
    <col min="6667" max="6669" width="12.140625" style="1" customWidth="1"/>
    <col min="6670" max="6911" width="9.140625" style="1"/>
    <col min="6912" max="6912" width="6.85546875" style="1" customWidth="1"/>
    <col min="6913" max="6913" width="11.140625" style="1" customWidth="1"/>
    <col min="6914" max="6914" width="8.42578125" style="1" bestFit="1" customWidth="1"/>
    <col min="6915" max="6915" width="12.5703125" style="1" customWidth="1"/>
    <col min="6916" max="6916" width="9.85546875" style="1" bestFit="1" customWidth="1"/>
    <col min="6917" max="6917" width="12.5703125" style="1" customWidth="1"/>
    <col min="6918" max="6918" width="11.42578125" style="1" bestFit="1" customWidth="1"/>
    <col min="6919" max="6919" width="8.42578125" style="1" bestFit="1" customWidth="1"/>
    <col min="6920" max="6920" width="12.5703125" style="1" customWidth="1"/>
    <col min="6921" max="6921" width="8.42578125" style="1" bestFit="1" customWidth="1"/>
    <col min="6922" max="6922" width="12.5703125" style="1" customWidth="1"/>
    <col min="6923" max="6925" width="12.140625" style="1" customWidth="1"/>
    <col min="6926" max="7167" width="9.140625" style="1"/>
    <col min="7168" max="7168" width="6.85546875" style="1" customWidth="1"/>
    <col min="7169" max="7169" width="11.140625" style="1" customWidth="1"/>
    <col min="7170" max="7170" width="8.42578125" style="1" bestFit="1" customWidth="1"/>
    <col min="7171" max="7171" width="12.5703125" style="1" customWidth="1"/>
    <col min="7172" max="7172" width="9.85546875" style="1" bestFit="1" customWidth="1"/>
    <col min="7173" max="7173" width="12.5703125" style="1" customWidth="1"/>
    <col min="7174" max="7174" width="11.42578125" style="1" bestFit="1" customWidth="1"/>
    <col min="7175" max="7175" width="8.42578125" style="1" bestFit="1" customWidth="1"/>
    <col min="7176" max="7176" width="12.5703125" style="1" customWidth="1"/>
    <col min="7177" max="7177" width="8.42578125" style="1" bestFit="1" customWidth="1"/>
    <col min="7178" max="7178" width="12.5703125" style="1" customWidth="1"/>
    <col min="7179" max="7181" width="12.140625" style="1" customWidth="1"/>
    <col min="7182" max="7423" width="9.140625" style="1"/>
    <col min="7424" max="7424" width="6.85546875" style="1" customWidth="1"/>
    <col min="7425" max="7425" width="11.140625" style="1" customWidth="1"/>
    <col min="7426" max="7426" width="8.42578125" style="1" bestFit="1" customWidth="1"/>
    <col min="7427" max="7427" width="12.5703125" style="1" customWidth="1"/>
    <col min="7428" max="7428" width="9.85546875" style="1" bestFit="1" customWidth="1"/>
    <col min="7429" max="7429" width="12.5703125" style="1" customWidth="1"/>
    <col min="7430" max="7430" width="11.42578125" style="1" bestFit="1" customWidth="1"/>
    <col min="7431" max="7431" width="8.42578125" style="1" bestFit="1" customWidth="1"/>
    <col min="7432" max="7432" width="12.5703125" style="1" customWidth="1"/>
    <col min="7433" max="7433" width="8.42578125" style="1" bestFit="1" customWidth="1"/>
    <col min="7434" max="7434" width="12.5703125" style="1" customWidth="1"/>
    <col min="7435" max="7437" width="12.140625" style="1" customWidth="1"/>
    <col min="7438" max="7679" width="9.140625" style="1"/>
    <col min="7680" max="7680" width="6.85546875" style="1" customWidth="1"/>
    <col min="7681" max="7681" width="11.140625" style="1" customWidth="1"/>
    <col min="7682" max="7682" width="8.42578125" style="1" bestFit="1" customWidth="1"/>
    <col min="7683" max="7683" width="12.5703125" style="1" customWidth="1"/>
    <col min="7684" max="7684" width="9.85546875" style="1" bestFit="1" customWidth="1"/>
    <col min="7685" max="7685" width="12.5703125" style="1" customWidth="1"/>
    <col min="7686" max="7686" width="11.42578125" style="1" bestFit="1" customWidth="1"/>
    <col min="7687" max="7687" width="8.42578125" style="1" bestFit="1" customWidth="1"/>
    <col min="7688" max="7688" width="12.5703125" style="1" customWidth="1"/>
    <col min="7689" max="7689" width="8.42578125" style="1" bestFit="1" customWidth="1"/>
    <col min="7690" max="7690" width="12.5703125" style="1" customWidth="1"/>
    <col min="7691" max="7693" width="12.140625" style="1" customWidth="1"/>
    <col min="7694" max="7935" width="9.140625" style="1"/>
    <col min="7936" max="7936" width="6.85546875" style="1" customWidth="1"/>
    <col min="7937" max="7937" width="11.140625" style="1" customWidth="1"/>
    <col min="7938" max="7938" width="8.42578125" style="1" bestFit="1" customWidth="1"/>
    <col min="7939" max="7939" width="12.5703125" style="1" customWidth="1"/>
    <col min="7940" max="7940" width="9.85546875" style="1" bestFit="1" customWidth="1"/>
    <col min="7941" max="7941" width="12.5703125" style="1" customWidth="1"/>
    <col min="7942" max="7942" width="11.42578125" style="1" bestFit="1" customWidth="1"/>
    <col min="7943" max="7943" width="8.42578125" style="1" bestFit="1" customWidth="1"/>
    <col min="7944" max="7944" width="12.5703125" style="1" customWidth="1"/>
    <col min="7945" max="7945" width="8.42578125" style="1" bestFit="1" customWidth="1"/>
    <col min="7946" max="7946" width="12.5703125" style="1" customWidth="1"/>
    <col min="7947" max="7949" width="12.140625" style="1" customWidth="1"/>
    <col min="7950" max="8191" width="9.140625" style="1"/>
    <col min="8192" max="8192" width="6.85546875" style="1" customWidth="1"/>
    <col min="8193" max="8193" width="11.140625" style="1" customWidth="1"/>
    <col min="8194" max="8194" width="8.42578125" style="1" bestFit="1" customWidth="1"/>
    <col min="8195" max="8195" width="12.5703125" style="1" customWidth="1"/>
    <col min="8196" max="8196" width="9.85546875" style="1" bestFit="1" customWidth="1"/>
    <col min="8197" max="8197" width="12.5703125" style="1" customWidth="1"/>
    <col min="8198" max="8198" width="11.42578125" style="1" bestFit="1" customWidth="1"/>
    <col min="8199" max="8199" width="8.42578125" style="1" bestFit="1" customWidth="1"/>
    <col min="8200" max="8200" width="12.5703125" style="1" customWidth="1"/>
    <col min="8201" max="8201" width="8.42578125" style="1" bestFit="1" customWidth="1"/>
    <col min="8202" max="8202" width="12.5703125" style="1" customWidth="1"/>
    <col min="8203" max="8205" width="12.140625" style="1" customWidth="1"/>
    <col min="8206" max="8447" width="9.140625" style="1"/>
    <col min="8448" max="8448" width="6.85546875" style="1" customWidth="1"/>
    <col min="8449" max="8449" width="11.140625" style="1" customWidth="1"/>
    <col min="8450" max="8450" width="8.42578125" style="1" bestFit="1" customWidth="1"/>
    <col min="8451" max="8451" width="12.5703125" style="1" customWidth="1"/>
    <col min="8452" max="8452" width="9.85546875" style="1" bestFit="1" customWidth="1"/>
    <col min="8453" max="8453" width="12.5703125" style="1" customWidth="1"/>
    <col min="8454" max="8454" width="11.42578125" style="1" bestFit="1" customWidth="1"/>
    <col min="8455" max="8455" width="8.42578125" style="1" bestFit="1" customWidth="1"/>
    <col min="8456" max="8456" width="12.5703125" style="1" customWidth="1"/>
    <col min="8457" max="8457" width="8.42578125" style="1" bestFit="1" customWidth="1"/>
    <col min="8458" max="8458" width="12.5703125" style="1" customWidth="1"/>
    <col min="8459" max="8461" width="12.140625" style="1" customWidth="1"/>
    <col min="8462" max="8703" width="9.140625" style="1"/>
    <col min="8704" max="8704" width="6.85546875" style="1" customWidth="1"/>
    <col min="8705" max="8705" width="11.140625" style="1" customWidth="1"/>
    <col min="8706" max="8706" width="8.42578125" style="1" bestFit="1" customWidth="1"/>
    <col min="8707" max="8707" width="12.5703125" style="1" customWidth="1"/>
    <col min="8708" max="8708" width="9.85546875" style="1" bestFit="1" customWidth="1"/>
    <col min="8709" max="8709" width="12.5703125" style="1" customWidth="1"/>
    <col min="8710" max="8710" width="11.42578125" style="1" bestFit="1" customWidth="1"/>
    <col min="8711" max="8711" width="8.42578125" style="1" bestFit="1" customWidth="1"/>
    <col min="8712" max="8712" width="12.5703125" style="1" customWidth="1"/>
    <col min="8713" max="8713" width="8.42578125" style="1" bestFit="1" customWidth="1"/>
    <col min="8714" max="8714" width="12.5703125" style="1" customWidth="1"/>
    <col min="8715" max="8717" width="12.140625" style="1" customWidth="1"/>
    <col min="8718" max="8959" width="9.140625" style="1"/>
    <col min="8960" max="8960" width="6.85546875" style="1" customWidth="1"/>
    <col min="8961" max="8961" width="11.140625" style="1" customWidth="1"/>
    <col min="8962" max="8962" width="8.42578125" style="1" bestFit="1" customWidth="1"/>
    <col min="8963" max="8963" width="12.5703125" style="1" customWidth="1"/>
    <col min="8964" max="8964" width="9.85546875" style="1" bestFit="1" customWidth="1"/>
    <col min="8965" max="8965" width="12.5703125" style="1" customWidth="1"/>
    <col min="8966" max="8966" width="11.42578125" style="1" bestFit="1" customWidth="1"/>
    <col min="8967" max="8967" width="8.42578125" style="1" bestFit="1" customWidth="1"/>
    <col min="8968" max="8968" width="12.5703125" style="1" customWidth="1"/>
    <col min="8969" max="8969" width="8.42578125" style="1" bestFit="1" customWidth="1"/>
    <col min="8970" max="8970" width="12.5703125" style="1" customWidth="1"/>
    <col min="8971" max="8973" width="12.140625" style="1" customWidth="1"/>
    <col min="8974" max="9215" width="9.140625" style="1"/>
    <col min="9216" max="9216" width="6.85546875" style="1" customWidth="1"/>
    <col min="9217" max="9217" width="11.140625" style="1" customWidth="1"/>
    <col min="9218" max="9218" width="8.42578125" style="1" bestFit="1" customWidth="1"/>
    <col min="9219" max="9219" width="12.5703125" style="1" customWidth="1"/>
    <col min="9220" max="9220" width="9.85546875" style="1" bestFit="1" customWidth="1"/>
    <col min="9221" max="9221" width="12.5703125" style="1" customWidth="1"/>
    <col min="9222" max="9222" width="11.42578125" style="1" bestFit="1" customWidth="1"/>
    <col min="9223" max="9223" width="8.42578125" style="1" bestFit="1" customWidth="1"/>
    <col min="9224" max="9224" width="12.5703125" style="1" customWidth="1"/>
    <col min="9225" max="9225" width="8.42578125" style="1" bestFit="1" customWidth="1"/>
    <col min="9226" max="9226" width="12.5703125" style="1" customWidth="1"/>
    <col min="9227" max="9229" width="12.140625" style="1" customWidth="1"/>
    <col min="9230" max="9471" width="9.140625" style="1"/>
    <col min="9472" max="9472" width="6.85546875" style="1" customWidth="1"/>
    <col min="9473" max="9473" width="11.140625" style="1" customWidth="1"/>
    <col min="9474" max="9474" width="8.42578125" style="1" bestFit="1" customWidth="1"/>
    <col min="9475" max="9475" width="12.5703125" style="1" customWidth="1"/>
    <col min="9476" max="9476" width="9.85546875" style="1" bestFit="1" customWidth="1"/>
    <col min="9477" max="9477" width="12.5703125" style="1" customWidth="1"/>
    <col min="9478" max="9478" width="11.42578125" style="1" bestFit="1" customWidth="1"/>
    <col min="9479" max="9479" width="8.42578125" style="1" bestFit="1" customWidth="1"/>
    <col min="9480" max="9480" width="12.5703125" style="1" customWidth="1"/>
    <col min="9481" max="9481" width="8.42578125" style="1" bestFit="1" customWidth="1"/>
    <col min="9482" max="9482" width="12.5703125" style="1" customWidth="1"/>
    <col min="9483" max="9485" width="12.140625" style="1" customWidth="1"/>
    <col min="9486" max="9727" width="9.140625" style="1"/>
    <col min="9728" max="9728" width="6.85546875" style="1" customWidth="1"/>
    <col min="9729" max="9729" width="11.140625" style="1" customWidth="1"/>
    <col min="9730" max="9730" width="8.42578125" style="1" bestFit="1" customWidth="1"/>
    <col min="9731" max="9731" width="12.5703125" style="1" customWidth="1"/>
    <col min="9732" max="9732" width="9.85546875" style="1" bestFit="1" customWidth="1"/>
    <col min="9733" max="9733" width="12.5703125" style="1" customWidth="1"/>
    <col min="9734" max="9734" width="11.42578125" style="1" bestFit="1" customWidth="1"/>
    <col min="9735" max="9735" width="8.42578125" style="1" bestFit="1" customWidth="1"/>
    <col min="9736" max="9736" width="12.5703125" style="1" customWidth="1"/>
    <col min="9737" max="9737" width="8.42578125" style="1" bestFit="1" customWidth="1"/>
    <col min="9738" max="9738" width="12.5703125" style="1" customWidth="1"/>
    <col min="9739" max="9741" width="12.140625" style="1" customWidth="1"/>
    <col min="9742" max="9983" width="9.140625" style="1"/>
    <col min="9984" max="9984" width="6.85546875" style="1" customWidth="1"/>
    <col min="9985" max="9985" width="11.140625" style="1" customWidth="1"/>
    <col min="9986" max="9986" width="8.42578125" style="1" bestFit="1" customWidth="1"/>
    <col min="9987" max="9987" width="12.5703125" style="1" customWidth="1"/>
    <col min="9988" max="9988" width="9.85546875" style="1" bestFit="1" customWidth="1"/>
    <col min="9989" max="9989" width="12.5703125" style="1" customWidth="1"/>
    <col min="9990" max="9990" width="11.42578125" style="1" bestFit="1" customWidth="1"/>
    <col min="9991" max="9991" width="8.42578125" style="1" bestFit="1" customWidth="1"/>
    <col min="9992" max="9992" width="12.5703125" style="1" customWidth="1"/>
    <col min="9993" max="9993" width="8.42578125" style="1" bestFit="1" customWidth="1"/>
    <col min="9994" max="9994" width="12.5703125" style="1" customWidth="1"/>
    <col min="9995" max="9997" width="12.140625" style="1" customWidth="1"/>
    <col min="9998" max="10239" width="9.140625" style="1"/>
    <col min="10240" max="10240" width="6.85546875" style="1" customWidth="1"/>
    <col min="10241" max="10241" width="11.140625" style="1" customWidth="1"/>
    <col min="10242" max="10242" width="8.42578125" style="1" bestFit="1" customWidth="1"/>
    <col min="10243" max="10243" width="12.5703125" style="1" customWidth="1"/>
    <col min="10244" max="10244" width="9.85546875" style="1" bestFit="1" customWidth="1"/>
    <col min="10245" max="10245" width="12.5703125" style="1" customWidth="1"/>
    <col min="10246" max="10246" width="11.42578125" style="1" bestFit="1" customWidth="1"/>
    <col min="10247" max="10247" width="8.42578125" style="1" bestFit="1" customWidth="1"/>
    <col min="10248" max="10248" width="12.5703125" style="1" customWidth="1"/>
    <col min="10249" max="10249" width="8.42578125" style="1" bestFit="1" customWidth="1"/>
    <col min="10250" max="10250" width="12.5703125" style="1" customWidth="1"/>
    <col min="10251" max="10253" width="12.140625" style="1" customWidth="1"/>
    <col min="10254" max="10495" width="9.140625" style="1"/>
    <col min="10496" max="10496" width="6.85546875" style="1" customWidth="1"/>
    <col min="10497" max="10497" width="11.140625" style="1" customWidth="1"/>
    <col min="10498" max="10498" width="8.42578125" style="1" bestFit="1" customWidth="1"/>
    <col min="10499" max="10499" width="12.5703125" style="1" customWidth="1"/>
    <col min="10500" max="10500" width="9.85546875" style="1" bestFit="1" customWidth="1"/>
    <col min="10501" max="10501" width="12.5703125" style="1" customWidth="1"/>
    <col min="10502" max="10502" width="11.42578125" style="1" bestFit="1" customWidth="1"/>
    <col min="10503" max="10503" width="8.42578125" style="1" bestFit="1" customWidth="1"/>
    <col min="10504" max="10504" width="12.5703125" style="1" customWidth="1"/>
    <col min="10505" max="10505" width="8.42578125" style="1" bestFit="1" customWidth="1"/>
    <col min="10506" max="10506" width="12.5703125" style="1" customWidth="1"/>
    <col min="10507" max="10509" width="12.140625" style="1" customWidth="1"/>
    <col min="10510" max="10751" width="9.140625" style="1"/>
    <col min="10752" max="10752" width="6.85546875" style="1" customWidth="1"/>
    <col min="10753" max="10753" width="11.140625" style="1" customWidth="1"/>
    <col min="10754" max="10754" width="8.42578125" style="1" bestFit="1" customWidth="1"/>
    <col min="10755" max="10755" width="12.5703125" style="1" customWidth="1"/>
    <col min="10756" max="10756" width="9.85546875" style="1" bestFit="1" customWidth="1"/>
    <col min="10757" max="10757" width="12.5703125" style="1" customWidth="1"/>
    <col min="10758" max="10758" width="11.42578125" style="1" bestFit="1" customWidth="1"/>
    <col min="10759" max="10759" width="8.42578125" style="1" bestFit="1" customWidth="1"/>
    <col min="10760" max="10760" width="12.5703125" style="1" customWidth="1"/>
    <col min="10761" max="10761" width="8.42578125" style="1" bestFit="1" customWidth="1"/>
    <col min="10762" max="10762" width="12.5703125" style="1" customWidth="1"/>
    <col min="10763" max="10765" width="12.140625" style="1" customWidth="1"/>
    <col min="10766" max="11007" width="9.140625" style="1"/>
    <col min="11008" max="11008" width="6.85546875" style="1" customWidth="1"/>
    <col min="11009" max="11009" width="11.140625" style="1" customWidth="1"/>
    <col min="11010" max="11010" width="8.42578125" style="1" bestFit="1" customWidth="1"/>
    <col min="11011" max="11011" width="12.5703125" style="1" customWidth="1"/>
    <col min="11012" max="11012" width="9.85546875" style="1" bestFit="1" customWidth="1"/>
    <col min="11013" max="11013" width="12.5703125" style="1" customWidth="1"/>
    <col min="11014" max="11014" width="11.42578125" style="1" bestFit="1" customWidth="1"/>
    <col min="11015" max="11015" width="8.42578125" style="1" bestFit="1" customWidth="1"/>
    <col min="11016" max="11016" width="12.5703125" style="1" customWidth="1"/>
    <col min="11017" max="11017" width="8.42578125" style="1" bestFit="1" customWidth="1"/>
    <col min="11018" max="11018" width="12.5703125" style="1" customWidth="1"/>
    <col min="11019" max="11021" width="12.140625" style="1" customWidth="1"/>
    <col min="11022" max="11263" width="9.140625" style="1"/>
    <col min="11264" max="11264" width="6.85546875" style="1" customWidth="1"/>
    <col min="11265" max="11265" width="11.140625" style="1" customWidth="1"/>
    <col min="11266" max="11266" width="8.42578125" style="1" bestFit="1" customWidth="1"/>
    <col min="11267" max="11267" width="12.5703125" style="1" customWidth="1"/>
    <col min="11268" max="11268" width="9.85546875" style="1" bestFit="1" customWidth="1"/>
    <col min="11269" max="11269" width="12.5703125" style="1" customWidth="1"/>
    <col min="11270" max="11270" width="11.42578125" style="1" bestFit="1" customWidth="1"/>
    <col min="11271" max="11271" width="8.42578125" style="1" bestFit="1" customWidth="1"/>
    <col min="11272" max="11272" width="12.5703125" style="1" customWidth="1"/>
    <col min="11273" max="11273" width="8.42578125" style="1" bestFit="1" customWidth="1"/>
    <col min="11274" max="11274" width="12.5703125" style="1" customWidth="1"/>
    <col min="11275" max="11277" width="12.140625" style="1" customWidth="1"/>
    <col min="11278" max="11519" width="9.140625" style="1"/>
    <col min="11520" max="11520" width="6.85546875" style="1" customWidth="1"/>
    <col min="11521" max="11521" width="11.140625" style="1" customWidth="1"/>
    <col min="11522" max="11522" width="8.42578125" style="1" bestFit="1" customWidth="1"/>
    <col min="11523" max="11523" width="12.5703125" style="1" customWidth="1"/>
    <col min="11524" max="11524" width="9.85546875" style="1" bestFit="1" customWidth="1"/>
    <col min="11525" max="11525" width="12.5703125" style="1" customWidth="1"/>
    <col min="11526" max="11526" width="11.42578125" style="1" bestFit="1" customWidth="1"/>
    <col min="11527" max="11527" width="8.42578125" style="1" bestFit="1" customWidth="1"/>
    <col min="11528" max="11528" width="12.5703125" style="1" customWidth="1"/>
    <col min="11529" max="11529" width="8.42578125" style="1" bestFit="1" customWidth="1"/>
    <col min="11530" max="11530" width="12.5703125" style="1" customWidth="1"/>
    <col min="11531" max="11533" width="12.140625" style="1" customWidth="1"/>
    <col min="11534" max="11775" width="9.140625" style="1"/>
    <col min="11776" max="11776" width="6.85546875" style="1" customWidth="1"/>
    <col min="11777" max="11777" width="11.140625" style="1" customWidth="1"/>
    <col min="11778" max="11778" width="8.42578125" style="1" bestFit="1" customWidth="1"/>
    <col min="11779" max="11779" width="12.5703125" style="1" customWidth="1"/>
    <col min="11780" max="11780" width="9.85546875" style="1" bestFit="1" customWidth="1"/>
    <col min="11781" max="11781" width="12.5703125" style="1" customWidth="1"/>
    <col min="11782" max="11782" width="11.42578125" style="1" bestFit="1" customWidth="1"/>
    <col min="11783" max="11783" width="8.42578125" style="1" bestFit="1" customWidth="1"/>
    <col min="11784" max="11784" width="12.5703125" style="1" customWidth="1"/>
    <col min="11785" max="11785" width="8.42578125" style="1" bestFit="1" customWidth="1"/>
    <col min="11786" max="11786" width="12.5703125" style="1" customWidth="1"/>
    <col min="11787" max="11789" width="12.140625" style="1" customWidth="1"/>
    <col min="11790" max="12031" width="9.140625" style="1"/>
    <col min="12032" max="12032" width="6.85546875" style="1" customWidth="1"/>
    <col min="12033" max="12033" width="11.140625" style="1" customWidth="1"/>
    <col min="12034" max="12034" width="8.42578125" style="1" bestFit="1" customWidth="1"/>
    <col min="12035" max="12035" width="12.5703125" style="1" customWidth="1"/>
    <col min="12036" max="12036" width="9.85546875" style="1" bestFit="1" customWidth="1"/>
    <col min="12037" max="12037" width="12.5703125" style="1" customWidth="1"/>
    <col min="12038" max="12038" width="11.42578125" style="1" bestFit="1" customWidth="1"/>
    <col min="12039" max="12039" width="8.42578125" style="1" bestFit="1" customWidth="1"/>
    <col min="12040" max="12040" width="12.5703125" style="1" customWidth="1"/>
    <col min="12041" max="12041" width="8.42578125" style="1" bestFit="1" customWidth="1"/>
    <col min="12042" max="12042" width="12.5703125" style="1" customWidth="1"/>
    <col min="12043" max="12045" width="12.140625" style="1" customWidth="1"/>
    <col min="12046" max="12287" width="9.140625" style="1"/>
    <col min="12288" max="12288" width="6.85546875" style="1" customWidth="1"/>
    <col min="12289" max="12289" width="11.140625" style="1" customWidth="1"/>
    <col min="12290" max="12290" width="8.42578125" style="1" bestFit="1" customWidth="1"/>
    <col min="12291" max="12291" width="12.5703125" style="1" customWidth="1"/>
    <col min="12292" max="12292" width="9.85546875" style="1" bestFit="1" customWidth="1"/>
    <col min="12293" max="12293" width="12.5703125" style="1" customWidth="1"/>
    <col min="12294" max="12294" width="11.42578125" style="1" bestFit="1" customWidth="1"/>
    <col min="12295" max="12295" width="8.42578125" style="1" bestFit="1" customWidth="1"/>
    <col min="12296" max="12296" width="12.5703125" style="1" customWidth="1"/>
    <col min="12297" max="12297" width="8.42578125" style="1" bestFit="1" customWidth="1"/>
    <col min="12298" max="12298" width="12.5703125" style="1" customWidth="1"/>
    <col min="12299" max="12301" width="12.140625" style="1" customWidth="1"/>
    <col min="12302" max="12543" width="9.140625" style="1"/>
    <col min="12544" max="12544" width="6.85546875" style="1" customWidth="1"/>
    <col min="12545" max="12545" width="11.140625" style="1" customWidth="1"/>
    <col min="12546" max="12546" width="8.42578125" style="1" bestFit="1" customWidth="1"/>
    <col min="12547" max="12547" width="12.5703125" style="1" customWidth="1"/>
    <col min="12548" max="12548" width="9.85546875" style="1" bestFit="1" customWidth="1"/>
    <col min="12549" max="12549" width="12.5703125" style="1" customWidth="1"/>
    <col min="12550" max="12550" width="11.42578125" style="1" bestFit="1" customWidth="1"/>
    <col min="12551" max="12551" width="8.42578125" style="1" bestFit="1" customWidth="1"/>
    <col min="12552" max="12552" width="12.5703125" style="1" customWidth="1"/>
    <col min="12553" max="12553" width="8.42578125" style="1" bestFit="1" customWidth="1"/>
    <col min="12554" max="12554" width="12.5703125" style="1" customWidth="1"/>
    <col min="12555" max="12557" width="12.140625" style="1" customWidth="1"/>
    <col min="12558" max="12799" width="9.140625" style="1"/>
    <col min="12800" max="12800" width="6.85546875" style="1" customWidth="1"/>
    <col min="12801" max="12801" width="11.140625" style="1" customWidth="1"/>
    <col min="12802" max="12802" width="8.42578125" style="1" bestFit="1" customWidth="1"/>
    <col min="12803" max="12803" width="12.5703125" style="1" customWidth="1"/>
    <col min="12804" max="12804" width="9.85546875" style="1" bestFit="1" customWidth="1"/>
    <col min="12805" max="12805" width="12.5703125" style="1" customWidth="1"/>
    <col min="12806" max="12806" width="11.42578125" style="1" bestFit="1" customWidth="1"/>
    <col min="12807" max="12807" width="8.42578125" style="1" bestFit="1" customWidth="1"/>
    <col min="12808" max="12808" width="12.5703125" style="1" customWidth="1"/>
    <col min="12809" max="12809" width="8.42578125" style="1" bestFit="1" customWidth="1"/>
    <col min="12810" max="12810" width="12.5703125" style="1" customWidth="1"/>
    <col min="12811" max="12813" width="12.140625" style="1" customWidth="1"/>
    <col min="12814" max="13055" width="9.140625" style="1"/>
    <col min="13056" max="13056" width="6.85546875" style="1" customWidth="1"/>
    <col min="13057" max="13057" width="11.140625" style="1" customWidth="1"/>
    <col min="13058" max="13058" width="8.42578125" style="1" bestFit="1" customWidth="1"/>
    <col min="13059" max="13059" width="12.5703125" style="1" customWidth="1"/>
    <col min="13060" max="13060" width="9.85546875" style="1" bestFit="1" customWidth="1"/>
    <col min="13061" max="13061" width="12.5703125" style="1" customWidth="1"/>
    <col min="13062" max="13062" width="11.42578125" style="1" bestFit="1" customWidth="1"/>
    <col min="13063" max="13063" width="8.42578125" style="1" bestFit="1" customWidth="1"/>
    <col min="13064" max="13064" width="12.5703125" style="1" customWidth="1"/>
    <col min="13065" max="13065" width="8.42578125" style="1" bestFit="1" customWidth="1"/>
    <col min="13066" max="13066" width="12.5703125" style="1" customWidth="1"/>
    <col min="13067" max="13069" width="12.140625" style="1" customWidth="1"/>
    <col min="13070" max="13311" width="9.140625" style="1"/>
    <col min="13312" max="13312" width="6.85546875" style="1" customWidth="1"/>
    <col min="13313" max="13313" width="11.140625" style="1" customWidth="1"/>
    <col min="13314" max="13314" width="8.42578125" style="1" bestFit="1" customWidth="1"/>
    <col min="13315" max="13315" width="12.5703125" style="1" customWidth="1"/>
    <col min="13316" max="13316" width="9.85546875" style="1" bestFit="1" customWidth="1"/>
    <col min="13317" max="13317" width="12.5703125" style="1" customWidth="1"/>
    <col min="13318" max="13318" width="11.42578125" style="1" bestFit="1" customWidth="1"/>
    <col min="13319" max="13319" width="8.42578125" style="1" bestFit="1" customWidth="1"/>
    <col min="13320" max="13320" width="12.5703125" style="1" customWidth="1"/>
    <col min="13321" max="13321" width="8.42578125" style="1" bestFit="1" customWidth="1"/>
    <col min="13322" max="13322" width="12.5703125" style="1" customWidth="1"/>
    <col min="13323" max="13325" width="12.140625" style="1" customWidth="1"/>
    <col min="13326" max="13567" width="9.140625" style="1"/>
    <col min="13568" max="13568" width="6.85546875" style="1" customWidth="1"/>
    <col min="13569" max="13569" width="11.140625" style="1" customWidth="1"/>
    <col min="13570" max="13570" width="8.42578125" style="1" bestFit="1" customWidth="1"/>
    <col min="13571" max="13571" width="12.5703125" style="1" customWidth="1"/>
    <col min="13572" max="13572" width="9.85546875" style="1" bestFit="1" customWidth="1"/>
    <col min="13573" max="13573" width="12.5703125" style="1" customWidth="1"/>
    <col min="13574" max="13574" width="11.42578125" style="1" bestFit="1" customWidth="1"/>
    <col min="13575" max="13575" width="8.42578125" style="1" bestFit="1" customWidth="1"/>
    <col min="13576" max="13576" width="12.5703125" style="1" customWidth="1"/>
    <col min="13577" max="13577" width="8.42578125" style="1" bestFit="1" customWidth="1"/>
    <col min="13578" max="13578" width="12.5703125" style="1" customWidth="1"/>
    <col min="13579" max="13581" width="12.140625" style="1" customWidth="1"/>
    <col min="13582" max="13823" width="9.140625" style="1"/>
    <col min="13824" max="13824" width="6.85546875" style="1" customWidth="1"/>
    <col min="13825" max="13825" width="11.140625" style="1" customWidth="1"/>
    <col min="13826" max="13826" width="8.42578125" style="1" bestFit="1" customWidth="1"/>
    <col min="13827" max="13827" width="12.5703125" style="1" customWidth="1"/>
    <col min="13828" max="13828" width="9.85546875" style="1" bestFit="1" customWidth="1"/>
    <col min="13829" max="13829" width="12.5703125" style="1" customWidth="1"/>
    <col min="13830" max="13830" width="11.42578125" style="1" bestFit="1" customWidth="1"/>
    <col min="13831" max="13831" width="8.42578125" style="1" bestFit="1" customWidth="1"/>
    <col min="13832" max="13832" width="12.5703125" style="1" customWidth="1"/>
    <col min="13833" max="13833" width="8.42578125" style="1" bestFit="1" customWidth="1"/>
    <col min="13834" max="13834" width="12.5703125" style="1" customWidth="1"/>
    <col min="13835" max="13837" width="12.140625" style="1" customWidth="1"/>
    <col min="13838" max="14079" width="9.140625" style="1"/>
    <col min="14080" max="14080" width="6.85546875" style="1" customWidth="1"/>
    <col min="14081" max="14081" width="11.140625" style="1" customWidth="1"/>
    <col min="14082" max="14082" width="8.42578125" style="1" bestFit="1" customWidth="1"/>
    <col min="14083" max="14083" width="12.5703125" style="1" customWidth="1"/>
    <col min="14084" max="14084" width="9.85546875" style="1" bestFit="1" customWidth="1"/>
    <col min="14085" max="14085" width="12.5703125" style="1" customWidth="1"/>
    <col min="14086" max="14086" width="11.42578125" style="1" bestFit="1" customWidth="1"/>
    <col min="14087" max="14087" width="8.42578125" style="1" bestFit="1" customWidth="1"/>
    <col min="14088" max="14088" width="12.5703125" style="1" customWidth="1"/>
    <col min="14089" max="14089" width="8.42578125" style="1" bestFit="1" customWidth="1"/>
    <col min="14090" max="14090" width="12.5703125" style="1" customWidth="1"/>
    <col min="14091" max="14093" width="12.140625" style="1" customWidth="1"/>
    <col min="14094" max="14335" width="9.140625" style="1"/>
    <col min="14336" max="14336" width="6.85546875" style="1" customWidth="1"/>
    <col min="14337" max="14337" width="11.140625" style="1" customWidth="1"/>
    <col min="14338" max="14338" width="8.42578125" style="1" bestFit="1" customWidth="1"/>
    <col min="14339" max="14339" width="12.5703125" style="1" customWidth="1"/>
    <col min="14340" max="14340" width="9.85546875" style="1" bestFit="1" customWidth="1"/>
    <col min="14341" max="14341" width="12.5703125" style="1" customWidth="1"/>
    <col min="14342" max="14342" width="11.42578125" style="1" bestFit="1" customWidth="1"/>
    <col min="14343" max="14343" width="8.42578125" style="1" bestFit="1" customWidth="1"/>
    <col min="14344" max="14344" width="12.5703125" style="1" customWidth="1"/>
    <col min="14345" max="14345" width="8.42578125" style="1" bestFit="1" customWidth="1"/>
    <col min="14346" max="14346" width="12.5703125" style="1" customWidth="1"/>
    <col min="14347" max="14349" width="12.140625" style="1" customWidth="1"/>
    <col min="14350" max="14591" width="9.140625" style="1"/>
    <col min="14592" max="14592" width="6.85546875" style="1" customWidth="1"/>
    <col min="14593" max="14593" width="11.140625" style="1" customWidth="1"/>
    <col min="14594" max="14594" width="8.42578125" style="1" bestFit="1" customWidth="1"/>
    <col min="14595" max="14595" width="12.5703125" style="1" customWidth="1"/>
    <col min="14596" max="14596" width="9.85546875" style="1" bestFit="1" customWidth="1"/>
    <col min="14597" max="14597" width="12.5703125" style="1" customWidth="1"/>
    <col min="14598" max="14598" width="11.42578125" style="1" bestFit="1" customWidth="1"/>
    <col min="14599" max="14599" width="8.42578125" style="1" bestFit="1" customWidth="1"/>
    <col min="14600" max="14600" width="12.5703125" style="1" customWidth="1"/>
    <col min="14601" max="14601" width="8.42578125" style="1" bestFit="1" customWidth="1"/>
    <col min="14602" max="14602" width="12.5703125" style="1" customWidth="1"/>
    <col min="14603" max="14605" width="12.140625" style="1" customWidth="1"/>
    <col min="14606" max="14847" width="9.140625" style="1"/>
    <col min="14848" max="14848" width="6.85546875" style="1" customWidth="1"/>
    <col min="14849" max="14849" width="11.140625" style="1" customWidth="1"/>
    <col min="14850" max="14850" width="8.42578125" style="1" bestFit="1" customWidth="1"/>
    <col min="14851" max="14851" width="12.5703125" style="1" customWidth="1"/>
    <col min="14852" max="14852" width="9.85546875" style="1" bestFit="1" customWidth="1"/>
    <col min="14853" max="14853" width="12.5703125" style="1" customWidth="1"/>
    <col min="14854" max="14854" width="11.42578125" style="1" bestFit="1" customWidth="1"/>
    <col min="14855" max="14855" width="8.42578125" style="1" bestFit="1" customWidth="1"/>
    <col min="14856" max="14856" width="12.5703125" style="1" customWidth="1"/>
    <col min="14857" max="14857" width="8.42578125" style="1" bestFit="1" customWidth="1"/>
    <col min="14858" max="14858" width="12.5703125" style="1" customWidth="1"/>
    <col min="14859" max="14861" width="12.140625" style="1" customWidth="1"/>
    <col min="14862" max="15103" width="9.140625" style="1"/>
    <col min="15104" max="15104" width="6.85546875" style="1" customWidth="1"/>
    <col min="15105" max="15105" width="11.140625" style="1" customWidth="1"/>
    <col min="15106" max="15106" width="8.42578125" style="1" bestFit="1" customWidth="1"/>
    <col min="15107" max="15107" width="12.5703125" style="1" customWidth="1"/>
    <col min="15108" max="15108" width="9.85546875" style="1" bestFit="1" customWidth="1"/>
    <col min="15109" max="15109" width="12.5703125" style="1" customWidth="1"/>
    <col min="15110" max="15110" width="11.42578125" style="1" bestFit="1" customWidth="1"/>
    <col min="15111" max="15111" width="8.42578125" style="1" bestFit="1" customWidth="1"/>
    <col min="15112" max="15112" width="12.5703125" style="1" customWidth="1"/>
    <col min="15113" max="15113" width="8.42578125" style="1" bestFit="1" customWidth="1"/>
    <col min="15114" max="15114" width="12.5703125" style="1" customWidth="1"/>
    <col min="15115" max="15117" width="12.140625" style="1" customWidth="1"/>
    <col min="15118" max="15359" width="9.140625" style="1"/>
    <col min="15360" max="15360" width="6.85546875" style="1" customWidth="1"/>
    <col min="15361" max="15361" width="11.140625" style="1" customWidth="1"/>
    <col min="15362" max="15362" width="8.42578125" style="1" bestFit="1" customWidth="1"/>
    <col min="15363" max="15363" width="12.5703125" style="1" customWidth="1"/>
    <col min="15364" max="15364" width="9.85546875" style="1" bestFit="1" customWidth="1"/>
    <col min="15365" max="15365" width="12.5703125" style="1" customWidth="1"/>
    <col min="15366" max="15366" width="11.42578125" style="1" bestFit="1" customWidth="1"/>
    <col min="15367" max="15367" width="8.42578125" style="1" bestFit="1" customWidth="1"/>
    <col min="15368" max="15368" width="12.5703125" style="1" customWidth="1"/>
    <col min="15369" max="15369" width="8.42578125" style="1" bestFit="1" customWidth="1"/>
    <col min="15370" max="15370" width="12.5703125" style="1" customWidth="1"/>
    <col min="15371" max="15373" width="12.140625" style="1" customWidth="1"/>
    <col min="15374" max="15615" width="9.140625" style="1"/>
    <col min="15616" max="15616" width="6.85546875" style="1" customWidth="1"/>
    <col min="15617" max="15617" width="11.140625" style="1" customWidth="1"/>
    <col min="15618" max="15618" width="8.42578125" style="1" bestFit="1" customWidth="1"/>
    <col min="15619" max="15619" width="12.5703125" style="1" customWidth="1"/>
    <col min="15620" max="15620" width="9.85546875" style="1" bestFit="1" customWidth="1"/>
    <col min="15621" max="15621" width="12.5703125" style="1" customWidth="1"/>
    <col min="15622" max="15622" width="11.42578125" style="1" bestFit="1" customWidth="1"/>
    <col min="15623" max="15623" width="8.42578125" style="1" bestFit="1" customWidth="1"/>
    <col min="15624" max="15624" width="12.5703125" style="1" customWidth="1"/>
    <col min="15625" max="15625" width="8.42578125" style="1" bestFit="1" customWidth="1"/>
    <col min="15626" max="15626" width="12.5703125" style="1" customWidth="1"/>
    <col min="15627" max="15629" width="12.140625" style="1" customWidth="1"/>
    <col min="15630" max="15871" width="9.140625" style="1"/>
    <col min="15872" max="15872" width="6.85546875" style="1" customWidth="1"/>
    <col min="15873" max="15873" width="11.140625" style="1" customWidth="1"/>
    <col min="15874" max="15874" width="8.42578125" style="1" bestFit="1" customWidth="1"/>
    <col min="15875" max="15875" width="12.5703125" style="1" customWidth="1"/>
    <col min="15876" max="15876" width="9.85546875" style="1" bestFit="1" customWidth="1"/>
    <col min="15877" max="15877" width="12.5703125" style="1" customWidth="1"/>
    <col min="15878" max="15878" width="11.42578125" style="1" bestFit="1" customWidth="1"/>
    <col min="15879" max="15879" width="8.42578125" style="1" bestFit="1" customWidth="1"/>
    <col min="15880" max="15880" width="12.5703125" style="1" customWidth="1"/>
    <col min="15881" max="15881" width="8.42578125" style="1" bestFit="1" customWidth="1"/>
    <col min="15882" max="15882" width="12.5703125" style="1" customWidth="1"/>
    <col min="15883" max="15885" width="12.140625" style="1" customWidth="1"/>
    <col min="15886" max="16127" width="9.140625" style="1"/>
    <col min="16128" max="16128" width="6.85546875" style="1" customWidth="1"/>
    <col min="16129" max="16129" width="11.140625" style="1" customWidth="1"/>
    <col min="16130" max="16130" width="8.42578125" style="1" bestFit="1" customWidth="1"/>
    <col min="16131" max="16131" width="12.5703125" style="1" customWidth="1"/>
    <col min="16132" max="16132" width="9.85546875" style="1" bestFit="1" customWidth="1"/>
    <col min="16133" max="16133" width="12.5703125" style="1" customWidth="1"/>
    <col min="16134" max="16134" width="11.42578125" style="1" bestFit="1" customWidth="1"/>
    <col min="16135" max="16135" width="8.42578125" style="1" bestFit="1" customWidth="1"/>
    <col min="16136" max="16136" width="12.5703125" style="1" customWidth="1"/>
    <col min="16137" max="16137" width="8.42578125" style="1" bestFit="1" customWidth="1"/>
    <col min="16138" max="16138" width="12.5703125" style="1" customWidth="1"/>
    <col min="16139" max="16141" width="12.140625" style="1" customWidth="1"/>
    <col min="16142" max="16384" width="9.140625" style="1"/>
  </cols>
  <sheetData>
    <row r="1" spans="1:22" ht="15" customHeight="1">
      <c r="O1" s="1440" t="s">
        <v>875</v>
      </c>
      <c r="P1" s="1440"/>
    </row>
    <row r="2" spans="1:22" ht="36.75" customHeight="1">
      <c r="A2" s="1428" t="s">
        <v>1312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</row>
    <row r="3" spans="1:22" s="188" customFormat="1" ht="18">
      <c r="A3" s="706" t="s">
        <v>1298</v>
      </c>
      <c r="B3" s="706"/>
      <c r="C3" s="706"/>
      <c r="D3" s="706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707"/>
      <c r="R3" s="658"/>
      <c r="S3" s="658"/>
      <c r="T3" s="658"/>
      <c r="U3" s="658"/>
      <c r="V3" s="658"/>
    </row>
    <row r="4" spans="1:22" s="188" customFormat="1" ht="15.75">
      <c r="A4" s="183"/>
      <c r="B4" s="203"/>
      <c r="C4" s="205"/>
      <c r="D4" s="205"/>
      <c r="E4" s="205"/>
      <c r="F4" s="205"/>
      <c r="G4" s="205"/>
      <c r="H4" s="205"/>
      <c r="I4" s="205"/>
      <c r="J4" s="205"/>
      <c r="K4" s="205"/>
      <c r="L4" s="186"/>
      <c r="M4" s="186"/>
      <c r="N4" s="186"/>
      <c r="O4" s="1409" t="s">
        <v>995</v>
      </c>
      <c r="P4" s="1409"/>
      <c r="R4" s="658"/>
      <c r="S4" s="658"/>
      <c r="T4" s="658"/>
      <c r="U4" s="658"/>
      <c r="V4" s="658"/>
    </row>
    <row r="5" spans="1:22" s="192" customFormat="1" ht="24.95" customHeight="1">
      <c r="A5" s="1429" t="s">
        <v>863</v>
      </c>
      <c r="B5" s="1429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R5" s="660"/>
      <c r="S5" s="660"/>
      <c r="T5" s="660"/>
      <c r="U5" s="660"/>
      <c r="V5" s="660"/>
    </row>
    <row r="6" spans="1:22" s="21" customFormat="1" ht="24.95" customHeight="1">
      <c r="A6" s="1434" t="s">
        <v>873</v>
      </c>
      <c r="B6" s="1437" t="s">
        <v>1111</v>
      </c>
      <c r="C6" s="1438"/>
      <c r="D6" s="1438"/>
      <c r="E6" s="1438"/>
      <c r="F6" s="1439"/>
      <c r="G6" s="1437" t="s">
        <v>1100</v>
      </c>
      <c r="H6" s="1438"/>
      <c r="I6" s="1438"/>
      <c r="J6" s="1438"/>
      <c r="K6" s="1439"/>
      <c r="L6" s="1437" t="s">
        <v>1094</v>
      </c>
      <c r="M6" s="1438"/>
      <c r="N6" s="1438"/>
      <c r="O6" s="1438"/>
      <c r="P6" s="1439"/>
      <c r="R6" s="662"/>
      <c r="S6" s="662"/>
      <c r="T6" s="662"/>
      <c r="U6" s="662"/>
      <c r="V6" s="662"/>
    </row>
    <row r="7" spans="1:22" s="198" customFormat="1" ht="24.95" customHeight="1">
      <c r="A7" s="1435"/>
      <c r="B7" s="1431" t="s">
        <v>872</v>
      </c>
      <c r="C7" s="1411" t="s">
        <v>134</v>
      </c>
      <c r="D7" s="1411"/>
      <c r="E7" s="1412" t="s">
        <v>135</v>
      </c>
      <c r="F7" s="1413"/>
      <c r="G7" s="1431" t="s">
        <v>869</v>
      </c>
      <c r="H7" s="1411" t="s">
        <v>134</v>
      </c>
      <c r="I7" s="1411"/>
      <c r="J7" s="1412" t="s">
        <v>135</v>
      </c>
      <c r="K7" s="1413"/>
      <c r="L7" s="1431" t="s">
        <v>869</v>
      </c>
      <c r="M7" s="1411" t="s">
        <v>134</v>
      </c>
      <c r="N7" s="1411"/>
      <c r="O7" s="1412" t="s">
        <v>135</v>
      </c>
      <c r="P7" s="1413"/>
      <c r="R7" s="664"/>
      <c r="S7" s="664"/>
      <c r="T7" s="664"/>
      <c r="U7" s="664"/>
      <c r="V7" s="664"/>
    </row>
    <row r="8" spans="1:22" s="21" customFormat="1" ht="54" customHeight="1">
      <c r="A8" s="1436"/>
      <c r="B8" s="1432"/>
      <c r="C8" s="199" t="s">
        <v>153</v>
      </c>
      <c r="D8" s="665" t="s">
        <v>868</v>
      </c>
      <c r="E8" s="199" t="s">
        <v>153</v>
      </c>
      <c r="F8" s="666" t="s">
        <v>868</v>
      </c>
      <c r="G8" s="1432"/>
      <c r="H8" s="199" t="s">
        <v>153</v>
      </c>
      <c r="I8" s="665" t="s">
        <v>868</v>
      </c>
      <c r="J8" s="199" t="s">
        <v>153</v>
      </c>
      <c r="K8" s="666" t="s">
        <v>868</v>
      </c>
      <c r="L8" s="1432"/>
      <c r="M8" s="199" t="s">
        <v>153</v>
      </c>
      <c r="N8" s="665" t="s">
        <v>868</v>
      </c>
      <c r="O8" s="199" t="s">
        <v>153</v>
      </c>
      <c r="P8" s="666" t="s">
        <v>868</v>
      </c>
      <c r="R8" s="662"/>
      <c r="S8" s="662"/>
      <c r="T8" s="662"/>
      <c r="U8" s="662"/>
      <c r="V8" s="662"/>
    </row>
    <row r="9" spans="1:22" s="7" customFormat="1" ht="18" customHeight="1">
      <c r="A9" s="708">
        <v>22</v>
      </c>
      <c r="B9" s="668">
        <f>+B36+B63+B90+B117+B144+B171+B198+B225+B252</f>
        <v>0</v>
      </c>
      <c r="C9" s="668">
        <f t="shared" ref="C9:P9" si="0">+C36+C63+C90+C117+C144+C171+C198+C225+C252</f>
        <v>0</v>
      </c>
      <c r="D9" s="668">
        <f t="shared" si="0"/>
        <v>0</v>
      </c>
      <c r="E9" s="668">
        <f t="shared" si="0"/>
        <v>0</v>
      </c>
      <c r="F9" s="668">
        <f t="shared" si="0"/>
        <v>0</v>
      </c>
      <c r="G9" s="668">
        <f t="shared" si="0"/>
        <v>0</v>
      </c>
      <c r="H9" s="668">
        <f t="shared" si="0"/>
        <v>0</v>
      </c>
      <c r="I9" s="668">
        <f t="shared" si="0"/>
        <v>0</v>
      </c>
      <c r="J9" s="668">
        <f t="shared" si="0"/>
        <v>0</v>
      </c>
      <c r="K9" s="668">
        <f t="shared" si="0"/>
        <v>0</v>
      </c>
      <c r="L9" s="668">
        <f t="shared" si="0"/>
        <v>0</v>
      </c>
      <c r="M9" s="668">
        <f t="shared" si="0"/>
        <v>0</v>
      </c>
      <c r="N9" s="668">
        <f t="shared" si="0"/>
        <v>0</v>
      </c>
      <c r="O9" s="668">
        <f t="shared" si="0"/>
        <v>0</v>
      </c>
      <c r="P9" s="709">
        <f t="shared" si="0"/>
        <v>0</v>
      </c>
      <c r="R9" s="678"/>
      <c r="S9" s="678"/>
      <c r="T9" s="678"/>
      <c r="U9" s="678"/>
      <c r="V9" s="678"/>
    </row>
    <row r="10" spans="1:22" s="7" customFormat="1" ht="18" customHeight="1">
      <c r="A10" s="14">
        <v>21</v>
      </c>
      <c r="B10" s="668">
        <f t="shared" ref="B10:P25" si="1">+B37+B64+B91+B118+B145+B172+B199+B226+B253</f>
        <v>0</v>
      </c>
      <c r="C10" s="668">
        <f t="shared" si="1"/>
        <v>0</v>
      </c>
      <c r="D10" s="668">
        <f t="shared" si="1"/>
        <v>0</v>
      </c>
      <c r="E10" s="668">
        <f t="shared" si="1"/>
        <v>0</v>
      </c>
      <c r="F10" s="668">
        <f t="shared" si="1"/>
        <v>0</v>
      </c>
      <c r="G10" s="668">
        <f t="shared" si="1"/>
        <v>0</v>
      </c>
      <c r="H10" s="668">
        <f t="shared" si="1"/>
        <v>0</v>
      </c>
      <c r="I10" s="668">
        <f t="shared" si="1"/>
        <v>0</v>
      </c>
      <c r="J10" s="668">
        <f t="shared" si="1"/>
        <v>0</v>
      </c>
      <c r="K10" s="668">
        <f t="shared" si="1"/>
        <v>0</v>
      </c>
      <c r="L10" s="668">
        <f t="shared" si="1"/>
        <v>0</v>
      </c>
      <c r="M10" s="668">
        <f t="shared" si="1"/>
        <v>0</v>
      </c>
      <c r="N10" s="668">
        <f t="shared" si="1"/>
        <v>0</v>
      </c>
      <c r="O10" s="668">
        <f t="shared" si="1"/>
        <v>0</v>
      </c>
      <c r="P10" s="709">
        <f t="shared" si="1"/>
        <v>0</v>
      </c>
      <c r="R10" s="678"/>
      <c r="S10" s="678"/>
      <c r="T10" s="678"/>
      <c r="U10" s="678"/>
      <c r="V10" s="678"/>
    </row>
    <row r="11" spans="1:22" s="7" customFormat="1" ht="18" customHeight="1">
      <c r="A11" s="14">
        <v>20</v>
      </c>
      <c r="B11" s="668">
        <f t="shared" si="1"/>
        <v>0</v>
      </c>
      <c r="C11" s="668">
        <f t="shared" si="1"/>
        <v>0</v>
      </c>
      <c r="D11" s="668">
        <f t="shared" si="1"/>
        <v>0</v>
      </c>
      <c r="E11" s="668">
        <f t="shared" si="1"/>
        <v>0</v>
      </c>
      <c r="F11" s="668">
        <f t="shared" si="1"/>
        <v>0</v>
      </c>
      <c r="G11" s="668">
        <f t="shared" si="1"/>
        <v>0</v>
      </c>
      <c r="H11" s="668">
        <f t="shared" si="1"/>
        <v>0</v>
      </c>
      <c r="I11" s="668">
        <f t="shared" si="1"/>
        <v>0</v>
      </c>
      <c r="J11" s="668">
        <f t="shared" si="1"/>
        <v>0</v>
      </c>
      <c r="K11" s="668">
        <f t="shared" si="1"/>
        <v>0</v>
      </c>
      <c r="L11" s="668">
        <f t="shared" si="1"/>
        <v>0</v>
      </c>
      <c r="M11" s="668">
        <f t="shared" si="1"/>
        <v>0</v>
      </c>
      <c r="N11" s="668">
        <f t="shared" si="1"/>
        <v>0</v>
      </c>
      <c r="O11" s="668">
        <f t="shared" si="1"/>
        <v>0</v>
      </c>
      <c r="P11" s="709">
        <f t="shared" si="1"/>
        <v>0</v>
      </c>
      <c r="R11" s="678"/>
      <c r="S11" s="678"/>
      <c r="T11" s="678"/>
      <c r="U11" s="678"/>
      <c r="V11" s="678"/>
    </row>
    <row r="12" spans="1:22" s="7" customFormat="1" ht="18" customHeight="1">
      <c r="A12" s="710">
        <v>19</v>
      </c>
      <c r="B12" s="668">
        <f t="shared" si="1"/>
        <v>3</v>
      </c>
      <c r="C12" s="668">
        <f t="shared" si="1"/>
        <v>2</v>
      </c>
      <c r="D12" s="668">
        <f t="shared" si="1"/>
        <v>2.5971839999999999</v>
      </c>
      <c r="E12" s="668">
        <f t="shared" si="1"/>
        <v>1</v>
      </c>
      <c r="F12" s="668">
        <f t="shared" si="1"/>
        <v>1.1312279999999999</v>
      </c>
      <c r="G12" s="668">
        <f t="shared" si="1"/>
        <v>3</v>
      </c>
      <c r="H12" s="668">
        <f t="shared" si="1"/>
        <v>2</v>
      </c>
      <c r="I12" s="668">
        <f t="shared" si="1"/>
        <v>0</v>
      </c>
      <c r="J12" s="668">
        <f t="shared" si="1"/>
        <v>1</v>
      </c>
      <c r="K12" s="668">
        <f t="shared" si="1"/>
        <v>12.55416</v>
      </c>
      <c r="L12" s="668">
        <f t="shared" si="1"/>
        <v>3</v>
      </c>
      <c r="M12" s="668">
        <f t="shared" si="1"/>
        <v>2</v>
      </c>
      <c r="N12" s="668">
        <f t="shared" si="1"/>
        <v>2.870676</v>
      </c>
      <c r="O12" s="668">
        <f t="shared" si="1"/>
        <v>1</v>
      </c>
      <c r="P12" s="709">
        <f t="shared" si="1"/>
        <v>12.55416</v>
      </c>
      <c r="R12" s="678"/>
      <c r="S12" s="678"/>
      <c r="T12" s="678"/>
      <c r="U12" s="678"/>
      <c r="V12" s="678"/>
    </row>
    <row r="13" spans="1:22" s="7" customFormat="1" ht="18" customHeight="1">
      <c r="A13" s="14">
        <v>18</v>
      </c>
      <c r="B13" s="668">
        <f t="shared" si="1"/>
        <v>7</v>
      </c>
      <c r="C13" s="668">
        <f t="shared" si="1"/>
        <v>5</v>
      </c>
      <c r="D13" s="668">
        <f t="shared" si="1"/>
        <v>7.611408</v>
      </c>
      <c r="E13" s="668">
        <f t="shared" si="1"/>
        <v>2</v>
      </c>
      <c r="F13" s="668">
        <f t="shared" si="1"/>
        <v>1.755444</v>
      </c>
      <c r="G13" s="668">
        <f t="shared" si="1"/>
        <v>7</v>
      </c>
      <c r="H13" s="668">
        <f t="shared" si="1"/>
        <v>5</v>
      </c>
      <c r="I13" s="668">
        <f t="shared" si="1"/>
        <v>8.3221919999999994</v>
      </c>
      <c r="J13" s="668">
        <f t="shared" si="1"/>
        <v>2</v>
      </c>
      <c r="K13" s="668">
        <f t="shared" si="1"/>
        <v>16.39716</v>
      </c>
      <c r="L13" s="668">
        <f t="shared" si="1"/>
        <v>7</v>
      </c>
      <c r="M13" s="668">
        <f t="shared" si="1"/>
        <v>5</v>
      </c>
      <c r="N13" s="668">
        <f t="shared" si="1"/>
        <v>8.5288319999999995</v>
      </c>
      <c r="O13" s="668">
        <f t="shared" si="1"/>
        <v>2</v>
      </c>
      <c r="P13" s="709">
        <f t="shared" si="1"/>
        <v>16.39716</v>
      </c>
      <c r="R13" s="678"/>
      <c r="S13" s="678"/>
      <c r="T13" s="678"/>
      <c r="U13" s="678"/>
      <c r="V13" s="678"/>
    </row>
    <row r="14" spans="1:22" s="7" customFormat="1" ht="18" customHeight="1">
      <c r="A14" s="14">
        <v>17</v>
      </c>
      <c r="B14" s="668">
        <f t="shared" si="1"/>
        <v>47</v>
      </c>
      <c r="C14" s="668">
        <f t="shared" si="1"/>
        <v>33</v>
      </c>
      <c r="D14" s="668">
        <f t="shared" si="1"/>
        <v>34.352592000000001</v>
      </c>
      <c r="E14" s="668">
        <f t="shared" si="1"/>
        <v>14</v>
      </c>
      <c r="F14" s="668">
        <f t="shared" si="1"/>
        <v>9.5756760000000014</v>
      </c>
      <c r="G14" s="668">
        <f t="shared" si="1"/>
        <v>44</v>
      </c>
      <c r="H14" s="668">
        <f t="shared" si="1"/>
        <v>28</v>
      </c>
      <c r="I14" s="668">
        <f t="shared" si="1"/>
        <v>31.320024</v>
      </c>
      <c r="J14" s="668">
        <f t="shared" si="1"/>
        <v>16</v>
      </c>
      <c r="K14" s="668">
        <f t="shared" si="1"/>
        <v>109.82135999999998</v>
      </c>
      <c r="L14" s="668">
        <f t="shared" si="1"/>
        <v>44</v>
      </c>
      <c r="M14" s="668">
        <f t="shared" si="1"/>
        <v>28</v>
      </c>
      <c r="N14" s="668">
        <f t="shared" si="1"/>
        <v>32.247384000000004</v>
      </c>
      <c r="O14" s="668">
        <f t="shared" si="1"/>
        <v>16</v>
      </c>
      <c r="P14" s="709">
        <f t="shared" si="1"/>
        <v>109.82135999999998</v>
      </c>
      <c r="R14" s="678"/>
      <c r="S14" s="678"/>
      <c r="T14" s="678"/>
      <c r="U14" s="678"/>
      <c r="V14" s="678"/>
    </row>
    <row r="15" spans="1:22" s="7" customFormat="1" ht="18" customHeight="1">
      <c r="A15" s="14">
        <v>16</v>
      </c>
      <c r="B15" s="668">
        <f t="shared" si="1"/>
        <v>175</v>
      </c>
      <c r="C15" s="668">
        <f t="shared" si="1"/>
        <v>117</v>
      </c>
      <c r="D15" s="668">
        <f t="shared" si="1"/>
        <v>95.548307999999992</v>
      </c>
      <c r="E15" s="668">
        <f t="shared" si="1"/>
        <v>58</v>
      </c>
      <c r="F15" s="668">
        <f t="shared" si="1"/>
        <v>26.518259999999998</v>
      </c>
      <c r="G15" s="668">
        <f t="shared" si="1"/>
        <v>186</v>
      </c>
      <c r="H15" s="668">
        <f t="shared" si="1"/>
        <v>128</v>
      </c>
      <c r="I15" s="668">
        <f t="shared" si="1"/>
        <v>111.66685200000002</v>
      </c>
      <c r="J15" s="668">
        <f t="shared" si="1"/>
        <v>58</v>
      </c>
      <c r="K15" s="668">
        <f t="shared" si="1"/>
        <v>283.57212000000004</v>
      </c>
      <c r="L15" s="668">
        <f t="shared" si="1"/>
        <v>186</v>
      </c>
      <c r="M15" s="668">
        <f t="shared" si="1"/>
        <v>128</v>
      </c>
      <c r="N15" s="668">
        <f t="shared" si="1"/>
        <v>114.48654000000001</v>
      </c>
      <c r="O15" s="668">
        <f t="shared" si="1"/>
        <v>58</v>
      </c>
      <c r="P15" s="709">
        <f t="shared" si="1"/>
        <v>283.57212000000004</v>
      </c>
      <c r="R15" s="678"/>
      <c r="S15" s="678"/>
      <c r="T15" s="678"/>
      <c r="U15" s="678"/>
      <c r="V15" s="678"/>
    </row>
    <row r="16" spans="1:22" s="7" customFormat="1" ht="18" customHeight="1">
      <c r="A16" s="14">
        <v>15</v>
      </c>
      <c r="B16" s="668">
        <f t="shared" si="1"/>
        <v>24</v>
      </c>
      <c r="C16" s="668">
        <f t="shared" si="1"/>
        <v>24</v>
      </c>
      <c r="D16" s="668">
        <f t="shared" si="1"/>
        <v>16.567391999999998</v>
      </c>
      <c r="E16" s="668">
        <f t="shared" si="1"/>
        <v>0</v>
      </c>
      <c r="F16" s="668">
        <f t="shared" si="1"/>
        <v>0</v>
      </c>
      <c r="G16" s="668">
        <f t="shared" si="1"/>
        <v>15</v>
      </c>
      <c r="H16" s="668">
        <f t="shared" si="1"/>
        <v>15</v>
      </c>
      <c r="I16" s="668">
        <f t="shared" si="1"/>
        <v>11.442456</v>
      </c>
      <c r="J16" s="668">
        <f t="shared" si="1"/>
        <v>0</v>
      </c>
      <c r="K16" s="668">
        <f t="shared" si="1"/>
        <v>0</v>
      </c>
      <c r="L16" s="668">
        <f t="shared" si="1"/>
        <v>15</v>
      </c>
      <c r="M16" s="668">
        <f t="shared" si="1"/>
        <v>15</v>
      </c>
      <c r="N16" s="668">
        <f t="shared" si="1"/>
        <v>11.729735999999999</v>
      </c>
      <c r="O16" s="668">
        <f t="shared" si="1"/>
        <v>0</v>
      </c>
      <c r="P16" s="709">
        <f t="shared" si="1"/>
        <v>0</v>
      </c>
      <c r="R16" s="678"/>
      <c r="S16" s="678"/>
      <c r="T16" s="678"/>
      <c r="U16" s="678"/>
      <c r="V16" s="678"/>
    </row>
    <row r="17" spans="1:22" s="7" customFormat="1" ht="18" customHeight="1">
      <c r="A17" s="22">
        <v>14</v>
      </c>
      <c r="B17" s="668">
        <f t="shared" si="1"/>
        <v>56</v>
      </c>
      <c r="C17" s="668">
        <f t="shared" si="1"/>
        <v>51</v>
      </c>
      <c r="D17" s="668">
        <f t="shared" si="1"/>
        <v>31.998240000000006</v>
      </c>
      <c r="E17" s="668">
        <f t="shared" si="1"/>
        <v>5</v>
      </c>
      <c r="F17" s="668">
        <f t="shared" si="1"/>
        <v>1.8990480000000001</v>
      </c>
      <c r="G17" s="668">
        <f t="shared" si="1"/>
        <v>50</v>
      </c>
      <c r="H17" s="668">
        <f t="shared" si="1"/>
        <v>46</v>
      </c>
      <c r="I17" s="668">
        <f t="shared" si="1"/>
        <v>30.301356000000002</v>
      </c>
      <c r="J17" s="668">
        <f t="shared" si="1"/>
        <v>2</v>
      </c>
      <c r="K17" s="668">
        <f t="shared" si="1"/>
        <v>16.751719999999999</v>
      </c>
      <c r="L17" s="668">
        <f t="shared" si="1"/>
        <v>50</v>
      </c>
      <c r="M17" s="668">
        <f t="shared" si="1"/>
        <v>46</v>
      </c>
      <c r="N17" s="668">
        <f t="shared" si="1"/>
        <v>31.179624</v>
      </c>
      <c r="O17" s="668">
        <f t="shared" si="1"/>
        <v>2</v>
      </c>
      <c r="P17" s="709">
        <f t="shared" si="1"/>
        <v>16.751719999999999</v>
      </c>
      <c r="R17" s="678"/>
      <c r="S17" s="678"/>
      <c r="T17" s="678"/>
      <c r="U17" s="678"/>
      <c r="V17" s="678"/>
    </row>
    <row r="18" spans="1:22" s="7" customFormat="1" ht="18" customHeight="1">
      <c r="A18" s="22">
        <v>13</v>
      </c>
      <c r="B18" s="668">
        <f t="shared" si="1"/>
        <v>0</v>
      </c>
      <c r="C18" s="668">
        <f t="shared" si="1"/>
        <v>0</v>
      </c>
      <c r="D18" s="668">
        <f t="shared" si="1"/>
        <v>0</v>
      </c>
      <c r="E18" s="668">
        <f t="shared" si="1"/>
        <v>0</v>
      </c>
      <c r="F18" s="668">
        <f t="shared" si="1"/>
        <v>0</v>
      </c>
      <c r="G18" s="668">
        <f t="shared" si="1"/>
        <v>0</v>
      </c>
      <c r="H18" s="668">
        <f t="shared" si="1"/>
        <v>0</v>
      </c>
      <c r="I18" s="668">
        <f t="shared" si="1"/>
        <v>0</v>
      </c>
      <c r="J18" s="668">
        <f t="shared" si="1"/>
        <v>0</v>
      </c>
      <c r="K18" s="668">
        <f t="shared" si="1"/>
        <v>0</v>
      </c>
      <c r="L18" s="668">
        <f t="shared" si="1"/>
        <v>0</v>
      </c>
      <c r="M18" s="668">
        <f t="shared" si="1"/>
        <v>0</v>
      </c>
      <c r="N18" s="668">
        <f t="shared" si="1"/>
        <v>0</v>
      </c>
      <c r="O18" s="668">
        <f t="shared" si="1"/>
        <v>0</v>
      </c>
      <c r="P18" s="709">
        <f t="shared" si="1"/>
        <v>0</v>
      </c>
      <c r="R18" s="678"/>
      <c r="S18" s="678"/>
      <c r="T18" s="678"/>
      <c r="U18" s="678"/>
      <c r="V18" s="678"/>
    </row>
    <row r="19" spans="1:22" s="7" customFormat="1" ht="18" customHeight="1">
      <c r="A19" s="22">
        <v>12</v>
      </c>
      <c r="B19" s="668">
        <f t="shared" si="1"/>
        <v>28</v>
      </c>
      <c r="C19" s="668">
        <f t="shared" si="1"/>
        <v>27</v>
      </c>
      <c r="D19" s="668">
        <f t="shared" si="1"/>
        <v>15.198588000000001</v>
      </c>
      <c r="E19" s="668">
        <f t="shared" si="1"/>
        <v>1</v>
      </c>
      <c r="F19" s="668">
        <f t="shared" si="1"/>
        <v>0.30868800000000002</v>
      </c>
      <c r="G19" s="668">
        <f t="shared" si="1"/>
        <v>24</v>
      </c>
      <c r="H19" s="668">
        <f t="shared" si="1"/>
        <v>23</v>
      </c>
      <c r="I19" s="668">
        <f t="shared" si="1"/>
        <v>13.818047999999999</v>
      </c>
      <c r="J19" s="668">
        <f t="shared" si="1"/>
        <v>0</v>
      </c>
      <c r="K19" s="668">
        <f t="shared" si="1"/>
        <v>3.3643200000000002</v>
      </c>
      <c r="L19" s="668">
        <f t="shared" si="1"/>
        <v>24</v>
      </c>
      <c r="M19" s="668">
        <f t="shared" si="1"/>
        <v>23</v>
      </c>
      <c r="N19" s="668">
        <f t="shared" si="1"/>
        <v>14.187504000000001</v>
      </c>
      <c r="O19" s="668">
        <f t="shared" si="1"/>
        <v>0</v>
      </c>
      <c r="P19" s="709">
        <f t="shared" si="1"/>
        <v>3.3643200000000002</v>
      </c>
      <c r="R19" s="678"/>
      <c r="S19" s="678"/>
      <c r="T19" s="678"/>
      <c r="U19" s="678"/>
      <c r="V19" s="678"/>
    </row>
    <row r="20" spans="1:22" s="7" customFormat="1" ht="18" customHeight="1">
      <c r="A20" s="22">
        <v>11</v>
      </c>
      <c r="B20" s="668">
        <f t="shared" si="1"/>
        <v>58</v>
      </c>
      <c r="C20" s="668">
        <f t="shared" si="1"/>
        <v>29</v>
      </c>
      <c r="D20" s="668">
        <f t="shared" si="1"/>
        <v>13.73826</v>
      </c>
      <c r="E20" s="668">
        <f t="shared" si="1"/>
        <v>29</v>
      </c>
      <c r="F20" s="668">
        <f t="shared" si="1"/>
        <v>8.4999000000000002</v>
      </c>
      <c r="G20" s="668">
        <f t="shared" si="1"/>
        <v>63</v>
      </c>
      <c r="H20" s="668">
        <f t="shared" si="1"/>
        <v>30</v>
      </c>
      <c r="I20" s="668">
        <f t="shared" si="1"/>
        <v>15.423191999999998</v>
      </c>
      <c r="J20" s="668">
        <f t="shared" si="1"/>
        <v>33</v>
      </c>
      <c r="K20" s="668">
        <f t="shared" si="1"/>
        <v>104.3676</v>
      </c>
      <c r="L20" s="668">
        <f t="shared" si="1"/>
        <v>63</v>
      </c>
      <c r="M20" s="668">
        <f t="shared" si="1"/>
        <v>30</v>
      </c>
      <c r="N20" s="668">
        <f t="shared" si="1"/>
        <v>15.898452000000001</v>
      </c>
      <c r="O20" s="668">
        <f t="shared" si="1"/>
        <v>33</v>
      </c>
      <c r="P20" s="709">
        <f t="shared" si="1"/>
        <v>104.3676</v>
      </c>
      <c r="R20" s="678"/>
      <c r="S20" s="678"/>
      <c r="T20" s="678"/>
      <c r="U20" s="678"/>
      <c r="V20" s="678"/>
    </row>
    <row r="21" spans="1:22" s="7" customFormat="1" ht="18" customHeight="1">
      <c r="A21" s="22">
        <v>10</v>
      </c>
      <c r="B21" s="668">
        <f t="shared" si="1"/>
        <v>0</v>
      </c>
      <c r="C21" s="668">
        <f t="shared" si="1"/>
        <v>0</v>
      </c>
      <c r="D21" s="668">
        <f t="shared" si="1"/>
        <v>0</v>
      </c>
      <c r="E21" s="668">
        <f t="shared" si="1"/>
        <v>0</v>
      </c>
      <c r="F21" s="668">
        <f t="shared" si="1"/>
        <v>0</v>
      </c>
      <c r="G21" s="668">
        <f t="shared" si="1"/>
        <v>0</v>
      </c>
      <c r="H21" s="668">
        <f t="shared" si="1"/>
        <v>0</v>
      </c>
      <c r="I21" s="668">
        <f t="shared" si="1"/>
        <v>0</v>
      </c>
      <c r="J21" s="668">
        <f t="shared" si="1"/>
        <v>0</v>
      </c>
      <c r="K21" s="668">
        <f t="shared" si="1"/>
        <v>0</v>
      </c>
      <c r="L21" s="668">
        <f t="shared" si="1"/>
        <v>0</v>
      </c>
      <c r="M21" s="668">
        <f t="shared" si="1"/>
        <v>0</v>
      </c>
      <c r="N21" s="668">
        <f t="shared" si="1"/>
        <v>0</v>
      </c>
      <c r="O21" s="668">
        <f t="shared" si="1"/>
        <v>0</v>
      </c>
      <c r="P21" s="709">
        <f t="shared" si="1"/>
        <v>0</v>
      </c>
      <c r="R21" s="678"/>
      <c r="S21" s="678"/>
      <c r="T21" s="678"/>
      <c r="U21" s="678"/>
      <c r="V21" s="678"/>
    </row>
    <row r="22" spans="1:22" s="7" customFormat="1" ht="18" customHeight="1">
      <c r="A22" s="22">
        <v>9</v>
      </c>
      <c r="B22" s="668">
        <f t="shared" si="1"/>
        <v>0</v>
      </c>
      <c r="C22" s="668">
        <f t="shared" si="1"/>
        <v>0</v>
      </c>
      <c r="D22" s="668">
        <f t="shared" si="1"/>
        <v>0</v>
      </c>
      <c r="E22" s="668">
        <f t="shared" si="1"/>
        <v>0</v>
      </c>
      <c r="F22" s="668">
        <f t="shared" si="1"/>
        <v>0</v>
      </c>
      <c r="G22" s="668">
        <f t="shared" si="1"/>
        <v>0</v>
      </c>
      <c r="H22" s="668">
        <f t="shared" si="1"/>
        <v>0</v>
      </c>
      <c r="I22" s="668">
        <f t="shared" si="1"/>
        <v>0</v>
      </c>
      <c r="J22" s="668">
        <f t="shared" si="1"/>
        <v>0</v>
      </c>
      <c r="K22" s="668">
        <f t="shared" si="1"/>
        <v>0</v>
      </c>
      <c r="L22" s="668">
        <f t="shared" si="1"/>
        <v>0</v>
      </c>
      <c r="M22" s="668">
        <f t="shared" si="1"/>
        <v>0</v>
      </c>
      <c r="N22" s="668">
        <f t="shared" si="1"/>
        <v>0</v>
      </c>
      <c r="O22" s="668">
        <f t="shared" si="1"/>
        <v>0</v>
      </c>
      <c r="P22" s="709">
        <f t="shared" si="1"/>
        <v>0</v>
      </c>
      <c r="R22" s="678"/>
      <c r="S22" s="678"/>
      <c r="T22" s="678"/>
      <c r="U22" s="678"/>
      <c r="V22" s="678"/>
    </row>
    <row r="23" spans="1:22" s="7" customFormat="1" ht="18" customHeight="1">
      <c r="A23" s="22">
        <v>8</v>
      </c>
      <c r="B23" s="668">
        <f t="shared" si="1"/>
        <v>34</v>
      </c>
      <c r="C23" s="668">
        <f t="shared" si="1"/>
        <v>30</v>
      </c>
      <c r="D23" s="668">
        <f t="shared" si="1"/>
        <v>12.583188</v>
      </c>
      <c r="E23" s="668">
        <f t="shared" si="1"/>
        <v>4</v>
      </c>
      <c r="F23" s="668">
        <f t="shared" si="1"/>
        <v>0</v>
      </c>
      <c r="G23" s="668">
        <f t="shared" si="1"/>
        <v>31</v>
      </c>
      <c r="H23" s="668">
        <f t="shared" si="1"/>
        <v>31</v>
      </c>
      <c r="I23" s="668">
        <f t="shared" si="1"/>
        <v>13.937844000000002</v>
      </c>
      <c r="J23" s="668">
        <f t="shared" si="1"/>
        <v>0</v>
      </c>
      <c r="K23" s="668">
        <f t="shared" si="1"/>
        <v>0</v>
      </c>
      <c r="L23" s="668">
        <f t="shared" si="1"/>
        <v>31</v>
      </c>
      <c r="M23" s="668">
        <f t="shared" si="1"/>
        <v>31</v>
      </c>
      <c r="N23" s="668">
        <f t="shared" si="1"/>
        <v>14.314271999999999</v>
      </c>
      <c r="O23" s="668">
        <f t="shared" si="1"/>
        <v>0</v>
      </c>
      <c r="P23" s="709">
        <f t="shared" si="1"/>
        <v>0</v>
      </c>
      <c r="R23" s="678"/>
      <c r="S23" s="678"/>
      <c r="T23" s="678"/>
      <c r="U23" s="678"/>
      <c r="V23" s="678"/>
    </row>
    <row r="24" spans="1:22" s="7" customFormat="1" ht="18" customHeight="1">
      <c r="A24" s="22">
        <v>7</v>
      </c>
      <c r="B24" s="668">
        <f t="shared" si="1"/>
        <v>119</v>
      </c>
      <c r="C24" s="668">
        <f t="shared" si="1"/>
        <v>88</v>
      </c>
      <c r="D24" s="668">
        <f t="shared" si="1"/>
        <v>37.871520000000004</v>
      </c>
      <c r="E24" s="668">
        <f t="shared" si="1"/>
        <v>31</v>
      </c>
      <c r="F24" s="668">
        <f t="shared" si="1"/>
        <v>7.8190679999999997</v>
      </c>
      <c r="G24" s="668">
        <f t="shared" si="1"/>
        <v>120</v>
      </c>
      <c r="H24" s="668">
        <f t="shared" si="1"/>
        <v>87</v>
      </c>
      <c r="I24" s="668">
        <f t="shared" si="1"/>
        <v>40.882204000000009</v>
      </c>
      <c r="J24" s="668">
        <f t="shared" si="1"/>
        <v>33</v>
      </c>
      <c r="K24" s="668">
        <f t="shared" si="1"/>
        <v>88.760599999999982</v>
      </c>
      <c r="L24" s="668">
        <f t="shared" si="1"/>
        <v>120</v>
      </c>
      <c r="M24" s="668">
        <f t="shared" si="1"/>
        <v>87</v>
      </c>
      <c r="N24" s="668">
        <f t="shared" si="1"/>
        <v>41.857319999999994</v>
      </c>
      <c r="O24" s="668">
        <f t="shared" si="1"/>
        <v>33</v>
      </c>
      <c r="P24" s="709">
        <f t="shared" si="1"/>
        <v>88.760599999999982</v>
      </c>
      <c r="R24" s="678"/>
      <c r="S24" s="678"/>
      <c r="T24" s="678"/>
      <c r="U24" s="678"/>
      <c r="V24" s="678"/>
    </row>
    <row r="25" spans="1:22" s="7" customFormat="1" ht="18" customHeight="1">
      <c r="A25" s="22">
        <v>6</v>
      </c>
      <c r="B25" s="668">
        <f t="shared" si="1"/>
        <v>35</v>
      </c>
      <c r="C25" s="668">
        <f t="shared" si="1"/>
        <v>35</v>
      </c>
      <c r="D25" s="668">
        <f t="shared" si="1"/>
        <v>14.247311999999997</v>
      </c>
      <c r="E25" s="668">
        <f t="shared" si="1"/>
        <v>0</v>
      </c>
      <c r="F25" s="668">
        <f t="shared" si="1"/>
        <v>0</v>
      </c>
      <c r="G25" s="668">
        <f t="shared" si="1"/>
        <v>33</v>
      </c>
      <c r="H25" s="668">
        <f t="shared" si="1"/>
        <v>33</v>
      </c>
      <c r="I25" s="668">
        <f t="shared" si="1"/>
        <v>14.686860000000003</v>
      </c>
      <c r="J25" s="668">
        <f t="shared" si="1"/>
        <v>0</v>
      </c>
      <c r="K25" s="668">
        <f t="shared" si="1"/>
        <v>0</v>
      </c>
      <c r="L25" s="668">
        <f t="shared" si="1"/>
        <v>33</v>
      </c>
      <c r="M25" s="668">
        <f t="shared" si="1"/>
        <v>33</v>
      </c>
      <c r="N25" s="668">
        <f t="shared" si="1"/>
        <v>15.030588000000002</v>
      </c>
      <c r="O25" s="668">
        <f t="shared" si="1"/>
        <v>0</v>
      </c>
      <c r="P25" s="709">
        <f t="shared" si="1"/>
        <v>0</v>
      </c>
      <c r="R25" s="678"/>
      <c r="S25" s="678"/>
      <c r="T25" s="678"/>
      <c r="U25" s="678"/>
      <c r="V25" s="678"/>
    </row>
    <row r="26" spans="1:22" s="7" customFormat="1" ht="18" customHeight="1">
      <c r="A26" s="22">
        <v>5</v>
      </c>
      <c r="B26" s="668">
        <f t="shared" ref="B26:P30" si="2">+B53+B80+B107+B134+B161+B188+B215+B242+B269</f>
        <v>69</v>
      </c>
      <c r="C26" s="668">
        <f t="shared" si="2"/>
        <v>26</v>
      </c>
      <c r="D26" s="668">
        <f t="shared" si="2"/>
        <v>9.3639880000000009</v>
      </c>
      <c r="E26" s="668">
        <f t="shared" si="2"/>
        <v>43</v>
      </c>
      <c r="F26" s="668">
        <f t="shared" si="2"/>
        <v>10.021236000000002</v>
      </c>
      <c r="G26" s="668">
        <f t="shared" si="2"/>
        <v>71</v>
      </c>
      <c r="H26" s="668">
        <f t="shared" si="2"/>
        <v>23</v>
      </c>
      <c r="I26" s="668">
        <f t="shared" si="2"/>
        <v>8.764284</v>
      </c>
      <c r="J26" s="668">
        <f t="shared" si="2"/>
        <v>39</v>
      </c>
      <c r="K26" s="668">
        <f t="shared" si="2"/>
        <v>114.47460000000001</v>
      </c>
      <c r="L26" s="668">
        <f t="shared" si="2"/>
        <v>71</v>
      </c>
      <c r="M26" s="668">
        <f t="shared" si="2"/>
        <v>23</v>
      </c>
      <c r="N26" s="668">
        <f t="shared" si="2"/>
        <v>8.9781840000000006</v>
      </c>
      <c r="O26" s="668">
        <f t="shared" si="2"/>
        <v>39</v>
      </c>
      <c r="P26" s="709">
        <f t="shared" si="2"/>
        <v>114.47460000000001</v>
      </c>
      <c r="R26" s="678"/>
      <c r="S26" s="678"/>
      <c r="T26" s="678"/>
      <c r="U26" s="678"/>
      <c r="V26" s="678"/>
    </row>
    <row r="27" spans="1:22" s="7" customFormat="1" ht="18" customHeight="1">
      <c r="A27" s="22">
        <v>4</v>
      </c>
      <c r="B27" s="668">
        <f t="shared" si="2"/>
        <v>142</v>
      </c>
      <c r="C27" s="668">
        <f t="shared" si="2"/>
        <v>141</v>
      </c>
      <c r="D27" s="668">
        <f t="shared" si="2"/>
        <v>41.559203999999994</v>
      </c>
      <c r="E27" s="668">
        <f t="shared" si="2"/>
        <v>1</v>
      </c>
      <c r="F27" s="668">
        <f t="shared" si="2"/>
        <v>0.22915199999999999</v>
      </c>
      <c r="G27" s="668">
        <f t="shared" si="2"/>
        <v>147</v>
      </c>
      <c r="H27" s="668">
        <f t="shared" si="2"/>
        <v>142</v>
      </c>
      <c r="I27" s="668">
        <f t="shared" si="2"/>
        <v>45.721152000000004</v>
      </c>
      <c r="J27" s="668">
        <f t="shared" si="2"/>
        <v>1</v>
      </c>
      <c r="K27" s="668">
        <f t="shared" si="2"/>
        <v>2.4977999999999998</v>
      </c>
      <c r="L27" s="668">
        <f t="shared" si="2"/>
        <v>147</v>
      </c>
      <c r="M27" s="668">
        <f t="shared" si="2"/>
        <v>142</v>
      </c>
      <c r="N27" s="668">
        <f t="shared" si="2"/>
        <v>46.883280000000006</v>
      </c>
      <c r="O27" s="668">
        <f t="shared" si="2"/>
        <v>1</v>
      </c>
      <c r="P27" s="709">
        <f t="shared" si="2"/>
        <v>2.4977999999999998</v>
      </c>
      <c r="R27" s="678"/>
      <c r="S27" s="678"/>
      <c r="T27" s="678"/>
      <c r="U27" s="678"/>
      <c r="V27" s="678"/>
    </row>
    <row r="28" spans="1:22" s="7" customFormat="1" ht="18" customHeight="1">
      <c r="A28" s="22">
        <v>3</v>
      </c>
      <c r="B28" s="668">
        <f t="shared" si="2"/>
        <v>2</v>
      </c>
      <c r="C28" s="668">
        <f t="shared" si="2"/>
        <v>0</v>
      </c>
      <c r="D28" s="668">
        <f t="shared" si="2"/>
        <v>0</v>
      </c>
      <c r="E28" s="668">
        <f t="shared" si="2"/>
        <v>2</v>
      </c>
      <c r="F28" s="668">
        <f t="shared" si="2"/>
        <v>0.47617199999999998</v>
      </c>
      <c r="G28" s="668">
        <f t="shared" si="2"/>
        <v>1</v>
      </c>
      <c r="H28" s="668">
        <f t="shared" si="2"/>
        <v>0</v>
      </c>
      <c r="I28" s="668">
        <f t="shared" si="2"/>
        <v>0</v>
      </c>
      <c r="J28" s="668">
        <f t="shared" si="2"/>
        <v>0</v>
      </c>
      <c r="K28" s="668">
        <f t="shared" si="2"/>
        <v>4.53444</v>
      </c>
      <c r="L28" s="668">
        <f t="shared" si="2"/>
        <v>1</v>
      </c>
      <c r="M28" s="668">
        <f t="shared" si="2"/>
        <v>0</v>
      </c>
      <c r="N28" s="668">
        <f t="shared" si="2"/>
        <v>0</v>
      </c>
      <c r="O28" s="668">
        <f t="shared" si="2"/>
        <v>0</v>
      </c>
      <c r="P28" s="709">
        <f t="shared" si="2"/>
        <v>4.53444</v>
      </c>
      <c r="R28" s="678"/>
      <c r="S28" s="678"/>
      <c r="T28" s="678"/>
      <c r="U28" s="678"/>
      <c r="V28" s="678"/>
    </row>
    <row r="29" spans="1:22" s="7" customFormat="1" ht="18" customHeight="1">
      <c r="A29" s="22">
        <v>2</v>
      </c>
      <c r="B29" s="668">
        <f t="shared" si="2"/>
        <v>71</v>
      </c>
      <c r="C29" s="668">
        <f t="shared" si="2"/>
        <v>1</v>
      </c>
      <c r="D29" s="668">
        <f t="shared" si="2"/>
        <v>0.29470800000000003</v>
      </c>
      <c r="E29" s="668">
        <f t="shared" si="2"/>
        <v>70</v>
      </c>
      <c r="F29" s="668">
        <f t="shared" si="2"/>
        <v>15.230652000000001</v>
      </c>
      <c r="G29" s="668">
        <f t="shared" si="2"/>
        <v>73</v>
      </c>
      <c r="H29" s="668">
        <f t="shared" si="2"/>
        <v>0</v>
      </c>
      <c r="I29" s="668">
        <f t="shared" si="2"/>
        <v>0</v>
      </c>
      <c r="J29" s="668">
        <f t="shared" si="2"/>
        <v>69</v>
      </c>
      <c r="K29" s="668">
        <f t="shared" si="2"/>
        <v>175.23072000000002</v>
      </c>
      <c r="L29" s="668">
        <f t="shared" si="2"/>
        <v>73</v>
      </c>
      <c r="M29" s="668">
        <f t="shared" si="2"/>
        <v>0</v>
      </c>
      <c r="N29" s="668">
        <f t="shared" si="2"/>
        <v>0</v>
      </c>
      <c r="O29" s="668">
        <f t="shared" si="2"/>
        <v>69</v>
      </c>
      <c r="P29" s="709">
        <f t="shared" si="2"/>
        <v>175.23072000000002</v>
      </c>
      <c r="R29" s="678"/>
      <c r="S29" s="678"/>
      <c r="T29" s="678"/>
      <c r="U29" s="678"/>
      <c r="V29" s="678"/>
    </row>
    <row r="30" spans="1:22" s="7" customFormat="1" ht="18" customHeight="1">
      <c r="A30" s="22">
        <v>1</v>
      </c>
      <c r="B30" s="668">
        <f t="shared" si="2"/>
        <v>0</v>
      </c>
      <c r="C30" s="668">
        <f t="shared" si="2"/>
        <v>0</v>
      </c>
      <c r="D30" s="668">
        <f t="shared" si="2"/>
        <v>0</v>
      </c>
      <c r="E30" s="668">
        <f t="shared" si="2"/>
        <v>0</v>
      </c>
      <c r="F30" s="668">
        <f t="shared" si="2"/>
        <v>0</v>
      </c>
      <c r="G30" s="668">
        <f t="shared" si="2"/>
        <v>0</v>
      </c>
      <c r="H30" s="668">
        <f t="shared" si="2"/>
        <v>0</v>
      </c>
      <c r="I30" s="668">
        <f t="shared" si="2"/>
        <v>0</v>
      </c>
      <c r="J30" s="668">
        <f t="shared" si="2"/>
        <v>0</v>
      </c>
      <c r="K30" s="668">
        <f t="shared" si="2"/>
        <v>0</v>
      </c>
      <c r="L30" s="668">
        <f t="shared" si="2"/>
        <v>0</v>
      </c>
      <c r="M30" s="668">
        <f t="shared" si="2"/>
        <v>0</v>
      </c>
      <c r="N30" s="668">
        <f t="shared" si="2"/>
        <v>0</v>
      </c>
      <c r="O30" s="668">
        <f t="shared" si="2"/>
        <v>0</v>
      </c>
      <c r="P30" s="709">
        <f t="shared" si="2"/>
        <v>0</v>
      </c>
      <c r="R30" s="678"/>
      <c r="S30" s="678"/>
      <c r="T30" s="678"/>
      <c r="U30" s="678"/>
      <c r="V30" s="678"/>
    </row>
    <row r="31" spans="1:22" s="342" customFormat="1" ht="18" customHeight="1">
      <c r="A31" s="339" t="s">
        <v>138</v>
      </c>
      <c r="B31" s="340">
        <f t="shared" ref="B31:P31" si="3">SUM(B9:B30)</f>
        <v>870</v>
      </c>
      <c r="C31" s="340">
        <f t="shared" si="3"/>
        <v>609</v>
      </c>
      <c r="D31" s="341">
        <f t="shared" si="3"/>
        <v>333.53189200000008</v>
      </c>
      <c r="E31" s="340">
        <f t="shared" si="3"/>
        <v>261</v>
      </c>
      <c r="F31" s="341">
        <f t="shared" si="3"/>
        <v>83.464524000000011</v>
      </c>
      <c r="G31" s="340">
        <f t="shared" si="3"/>
        <v>868</v>
      </c>
      <c r="H31" s="340">
        <f t="shared" si="3"/>
        <v>593</v>
      </c>
      <c r="I31" s="341">
        <f t="shared" si="3"/>
        <v>346.28646400000008</v>
      </c>
      <c r="J31" s="340">
        <f t="shared" si="3"/>
        <v>254</v>
      </c>
      <c r="K31" s="711">
        <f t="shared" si="3"/>
        <v>932.32659999999998</v>
      </c>
      <c r="L31" s="340">
        <f t="shared" si="3"/>
        <v>868</v>
      </c>
      <c r="M31" s="340">
        <f t="shared" si="3"/>
        <v>593</v>
      </c>
      <c r="N31" s="341">
        <f t="shared" si="3"/>
        <v>358.19239199999998</v>
      </c>
      <c r="O31" s="340">
        <f t="shared" si="3"/>
        <v>254</v>
      </c>
      <c r="P31" s="712">
        <f t="shared" si="3"/>
        <v>932.32659999999998</v>
      </c>
      <c r="R31" s="713"/>
      <c r="S31" s="713"/>
      <c r="T31" s="713"/>
      <c r="U31" s="713"/>
      <c r="V31" s="713"/>
    </row>
    <row r="32" spans="1:22" s="7" customFormat="1" ht="33" customHeight="1">
      <c r="A32" s="1429" t="s">
        <v>453</v>
      </c>
      <c r="B32" s="1429"/>
      <c r="C32" s="1429"/>
      <c r="D32" s="1429"/>
      <c r="E32" s="1429"/>
      <c r="F32" s="1429"/>
      <c r="G32" s="1429"/>
      <c r="H32" s="1429"/>
      <c r="I32" s="1429"/>
      <c r="J32" s="1429"/>
      <c r="K32" s="1429"/>
      <c r="L32" s="1429"/>
      <c r="M32" s="1429"/>
      <c r="N32" s="1429"/>
      <c r="O32" s="1429"/>
      <c r="P32" s="1429"/>
      <c r="R32" s="678"/>
      <c r="S32" s="678"/>
      <c r="T32" s="678"/>
      <c r="U32" s="678"/>
      <c r="V32" s="678"/>
    </row>
    <row r="33" spans="1:23" s="7" customFormat="1">
      <c r="A33" s="1434" t="s">
        <v>873</v>
      </c>
      <c r="B33" s="1437" t="str">
        <f>+$B$6</f>
        <v>Status during last FY 2017-18</v>
      </c>
      <c r="C33" s="1438"/>
      <c r="D33" s="1438"/>
      <c r="E33" s="1438"/>
      <c r="F33" s="1439"/>
      <c r="G33" s="1437" t="str">
        <f>+$G$6</f>
        <v>Status during current FY 2018-19</v>
      </c>
      <c r="H33" s="1438"/>
      <c r="I33" s="1438"/>
      <c r="J33" s="1438"/>
      <c r="K33" s="1439"/>
      <c r="L33" s="1437" t="str">
        <f>+$L$6</f>
        <v>Planned for next FY 2019-20</v>
      </c>
      <c r="M33" s="1438"/>
      <c r="N33" s="1438"/>
      <c r="O33" s="1438"/>
      <c r="P33" s="1439"/>
      <c r="R33" s="678"/>
      <c r="S33" s="678"/>
      <c r="T33" s="678"/>
      <c r="U33" s="678"/>
      <c r="V33" s="678"/>
    </row>
    <row r="34" spans="1:23" s="7" customFormat="1">
      <c r="A34" s="1435"/>
      <c r="B34" s="1431" t="s">
        <v>872</v>
      </c>
      <c r="C34" s="1411" t="s">
        <v>134</v>
      </c>
      <c r="D34" s="1411"/>
      <c r="E34" s="1412" t="s">
        <v>135</v>
      </c>
      <c r="F34" s="1413"/>
      <c r="G34" s="1431" t="s">
        <v>869</v>
      </c>
      <c r="H34" s="1411" t="s">
        <v>134</v>
      </c>
      <c r="I34" s="1411"/>
      <c r="J34" s="1412" t="s">
        <v>135</v>
      </c>
      <c r="K34" s="1413"/>
      <c r="L34" s="1431" t="s">
        <v>869</v>
      </c>
      <c r="M34" s="1411" t="s">
        <v>134</v>
      </c>
      <c r="N34" s="1411"/>
      <c r="O34" s="1412" t="s">
        <v>135</v>
      </c>
      <c r="P34" s="1413"/>
      <c r="R34" s="1433" t="s">
        <v>1310</v>
      </c>
      <c r="S34" s="1433"/>
      <c r="T34" s="1433"/>
      <c r="U34" s="1430" t="s">
        <v>1311</v>
      </c>
      <c r="V34" s="1430"/>
      <c r="W34" s="1430"/>
    </row>
    <row r="35" spans="1:23" s="7" customFormat="1" ht="42.75">
      <c r="A35" s="1436"/>
      <c r="B35" s="1432"/>
      <c r="C35" s="199" t="s">
        <v>153</v>
      </c>
      <c r="D35" s="665" t="s">
        <v>868</v>
      </c>
      <c r="E35" s="199" t="s">
        <v>153</v>
      </c>
      <c r="F35" s="666" t="s">
        <v>868</v>
      </c>
      <c r="G35" s="1432"/>
      <c r="H35" s="199" t="s">
        <v>153</v>
      </c>
      <c r="I35" s="665" t="s">
        <v>868</v>
      </c>
      <c r="J35" s="199" t="s">
        <v>153</v>
      </c>
      <c r="K35" s="666" t="s">
        <v>868</v>
      </c>
      <c r="L35" s="1432"/>
      <c r="M35" s="199" t="s">
        <v>153</v>
      </c>
      <c r="N35" s="665" t="s">
        <v>868</v>
      </c>
      <c r="O35" s="199" t="s">
        <v>153</v>
      </c>
      <c r="P35" s="666" t="s">
        <v>868</v>
      </c>
      <c r="R35" s="714" t="s">
        <v>1313</v>
      </c>
      <c r="S35" s="715" t="s">
        <v>1314</v>
      </c>
      <c r="T35" s="714"/>
      <c r="U35" s="714" t="s">
        <v>1313</v>
      </c>
      <c r="V35" s="715" t="s">
        <v>1314</v>
      </c>
      <c r="W35" s="309"/>
    </row>
    <row r="36" spans="1:23" s="7" customFormat="1" ht="14.25">
      <c r="A36" s="708">
        <v>22</v>
      </c>
      <c r="B36" s="716"/>
      <c r="C36" s="717"/>
      <c r="D36" s="213"/>
      <c r="E36" s="717"/>
      <c r="F36" s="214"/>
      <c r="G36" s="716"/>
      <c r="H36" s="717"/>
      <c r="I36" s="213"/>
      <c r="J36" s="717"/>
      <c r="K36" s="214"/>
      <c r="L36" s="716"/>
      <c r="M36" s="717"/>
      <c r="N36" s="213"/>
      <c r="O36" s="717"/>
      <c r="P36" s="718"/>
      <c r="R36" s="678"/>
      <c r="S36" s="678"/>
      <c r="T36" s="678"/>
      <c r="U36" s="678"/>
      <c r="V36" s="678"/>
      <c r="W36" s="677">
        <f t="shared" ref="W36:W57" si="4">SUM(U36-V36)</f>
        <v>0</v>
      </c>
    </row>
    <row r="37" spans="1:23" s="7" customFormat="1" ht="14.25">
      <c r="A37" s="14">
        <v>21</v>
      </c>
      <c r="B37" s="215"/>
      <c r="C37" s="216"/>
      <c r="D37" s="217"/>
      <c r="E37" s="216"/>
      <c r="F37" s="218"/>
      <c r="G37" s="215"/>
      <c r="H37" s="216"/>
      <c r="I37" s="217"/>
      <c r="J37" s="216"/>
      <c r="K37" s="218"/>
      <c r="L37" s="215"/>
      <c r="M37" s="216"/>
      <c r="N37" s="217"/>
      <c r="O37" s="216"/>
      <c r="P37" s="719"/>
      <c r="R37" s="678"/>
      <c r="S37" s="678"/>
      <c r="T37" s="678"/>
      <c r="U37" s="678"/>
      <c r="V37" s="678"/>
      <c r="W37" s="677">
        <f t="shared" si="4"/>
        <v>0</v>
      </c>
    </row>
    <row r="38" spans="1:23" s="7" customFormat="1" ht="14.25">
      <c r="A38" s="14">
        <v>20</v>
      </c>
      <c r="B38" s="215"/>
      <c r="C38" s="216"/>
      <c r="D38" s="217"/>
      <c r="E38" s="216"/>
      <c r="F38" s="218"/>
      <c r="G38" s="215"/>
      <c r="H38" s="216"/>
      <c r="I38" s="217"/>
      <c r="J38" s="216"/>
      <c r="K38" s="218"/>
      <c r="L38" s="215"/>
      <c r="M38" s="216"/>
      <c r="N38" s="682">
        <f t="shared" ref="N38:N56" si="5">SUM(U38/1000000)</f>
        <v>0</v>
      </c>
      <c r="O38" s="216"/>
      <c r="P38" s="719"/>
      <c r="R38" s="678"/>
      <c r="S38" s="678"/>
      <c r="T38" s="678"/>
      <c r="U38" s="678"/>
      <c r="V38" s="678"/>
      <c r="W38" s="677">
        <f t="shared" si="4"/>
        <v>0</v>
      </c>
    </row>
    <row r="39" spans="1:23" s="7" customFormat="1" ht="14.25">
      <c r="A39" s="710">
        <v>19</v>
      </c>
      <c r="B39" s="215"/>
      <c r="C39" s="216"/>
      <c r="D39" s="217"/>
      <c r="E39" s="216"/>
      <c r="F39" s="218"/>
      <c r="G39" s="215"/>
      <c r="H39" s="216"/>
      <c r="I39" s="217"/>
      <c r="J39" s="216"/>
      <c r="K39" s="218"/>
      <c r="L39" s="215"/>
      <c r="M39" s="216"/>
      <c r="N39" s="682">
        <f t="shared" si="5"/>
        <v>0</v>
      </c>
      <c r="O39" s="216"/>
      <c r="P39" s="719"/>
      <c r="R39" s="678"/>
      <c r="S39" s="678"/>
      <c r="T39" s="678"/>
      <c r="U39" s="678"/>
      <c r="V39" s="678"/>
      <c r="W39" s="677">
        <f t="shared" si="4"/>
        <v>0</v>
      </c>
    </row>
    <row r="40" spans="1:23" s="7" customFormat="1" ht="14.25">
      <c r="A40" s="14">
        <v>18</v>
      </c>
      <c r="B40" s="215">
        <v>1</v>
      </c>
      <c r="C40" s="216">
        <v>1</v>
      </c>
      <c r="D40" s="217">
        <v>1.733376</v>
      </c>
      <c r="E40" s="216"/>
      <c r="F40" s="218"/>
      <c r="G40" s="215">
        <v>1</v>
      </c>
      <c r="H40" s="216">
        <v>1</v>
      </c>
      <c r="I40" s="217">
        <f>SUM(S40/1000000)</f>
        <v>1.870428</v>
      </c>
      <c r="J40" s="216"/>
      <c r="K40" s="683">
        <f t="shared" ref="K40:K54" si="6">SUM(R40-S40)/100000</f>
        <v>0</v>
      </c>
      <c r="L40" s="215">
        <v>1</v>
      </c>
      <c r="M40" s="216">
        <v>1</v>
      </c>
      <c r="N40" s="682">
        <f t="shared" si="5"/>
        <v>1.911756</v>
      </c>
      <c r="O40" s="216"/>
      <c r="P40" s="719"/>
      <c r="R40" s="678">
        <v>1870428</v>
      </c>
      <c r="S40" s="678">
        <f>+R40</f>
        <v>1870428</v>
      </c>
      <c r="T40" s="678"/>
      <c r="U40" s="678">
        <v>1911756</v>
      </c>
      <c r="V40" s="678"/>
      <c r="W40" s="677">
        <f t="shared" si="4"/>
        <v>1911756</v>
      </c>
    </row>
    <row r="41" spans="1:23" s="7" customFormat="1" ht="14.25">
      <c r="A41" s="14">
        <v>17</v>
      </c>
      <c r="B41" s="215">
        <v>5</v>
      </c>
      <c r="C41" s="216">
        <v>3</v>
      </c>
      <c r="D41" s="217">
        <v>3.0566399999999998</v>
      </c>
      <c r="E41" s="216">
        <v>2</v>
      </c>
      <c r="F41" s="218">
        <v>1.2380040000000001</v>
      </c>
      <c r="G41" s="215">
        <v>5</v>
      </c>
      <c r="H41" s="216">
        <v>3</v>
      </c>
      <c r="I41" s="217">
        <f t="shared" ref="I41:I44" si="7">SUM(S41/1000000)</f>
        <v>3.4020359999999998</v>
      </c>
      <c r="J41" s="216">
        <f t="shared" ref="J41:J51" si="8">SUM(G41-H41)</f>
        <v>2</v>
      </c>
      <c r="K41" s="683">
        <f t="shared" si="6"/>
        <v>12.82992</v>
      </c>
      <c r="L41" s="215">
        <v>5</v>
      </c>
      <c r="M41" s="216">
        <v>3</v>
      </c>
      <c r="N41" s="682">
        <f t="shared" si="5"/>
        <v>3.5013960000000002</v>
      </c>
      <c r="O41" s="216">
        <f t="shared" ref="O41:O51" si="9">SUM(L41-M41)</f>
        <v>2</v>
      </c>
      <c r="P41" s="719">
        <f>+K41</f>
        <v>12.82992</v>
      </c>
      <c r="R41" s="678">
        <v>4685028</v>
      </c>
      <c r="S41" s="678">
        <v>3402036</v>
      </c>
      <c r="T41" s="678"/>
      <c r="U41" s="678">
        <v>3501396</v>
      </c>
      <c r="V41" s="678"/>
      <c r="W41" s="677">
        <f t="shared" si="4"/>
        <v>3501396</v>
      </c>
    </row>
    <row r="42" spans="1:23" s="7" customFormat="1" ht="14.25">
      <c r="A42" s="14">
        <v>16</v>
      </c>
      <c r="B42" s="200">
        <v>19</v>
      </c>
      <c r="C42" s="204">
        <v>15</v>
      </c>
      <c r="D42" s="720">
        <v>12.068628</v>
      </c>
      <c r="E42" s="204">
        <v>4</v>
      </c>
      <c r="F42" s="721">
        <v>1.799712</v>
      </c>
      <c r="G42" s="200">
        <v>23</v>
      </c>
      <c r="H42" s="204">
        <v>19</v>
      </c>
      <c r="I42" s="217">
        <f t="shared" si="7"/>
        <v>15.998699999999999</v>
      </c>
      <c r="J42" s="216">
        <f t="shared" si="8"/>
        <v>4</v>
      </c>
      <c r="K42" s="683">
        <f t="shared" si="6"/>
        <v>19.559519999999999</v>
      </c>
      <c r="L42" s="200">
        <v>23</v>
      </c>
      <c r="M42" s="204">
        <v>19</v>
      </c>
      <c r="N42" s="682">
        <f t="shared" si="5"/>
        <v>16.420956</v>
      </c>
      <c r="O42" s="216">
        <f t="shared" si="9"/>
        <v>4</v>
      </c>
      <c r="P42" s="719">
        <f>+K42</f>
        <v>19.559519999999999</v>
      </c>
      <c r="R42" s="678">
        <v>17954652</v>
      </c>
      <c r="S42" s="678">
        <v>15998700</v>
      </c>
      <c r="T42" s="678"/>
      <c r="U42" s="678">
        <v>16420956</v>
      </c>
      <c r="V42" s="678"/>
      <c r="W42" s="677">
        <f t="shared" si="4"/>
        <v>16420956</v>
      </c>
    </row>
    <row r="43" spans="1:23" s="7" customFormat="1" ht="14.25">
      <c r="A43" s="14">
        <v>15</v>
      </c>
      <c r="B43" s="200">
        <v>1</v>
      </c>
      <c r="C43" s="204">
        <v>1</v>
      </c>
      <c r="D43" s="720">
        <v>0.70702799999999999</v>
      </c>
      <c r="E43" s="204"/>
      <c r="F43" s="721"/>
      <c r="G43" s="200">
        <v>1</v>
      </c>
      <c r="H43" s="204">
        <v>1</v>
      </c>
      <c r="I43" s="217">
        <f t="shared" si="7"/>
        <v>0.761544</v>
      </c>
      <c r="J43" s="216"/>
      <c r="K43" s="683">
        <f t="shared" si="6"/>
        <v>0</v>
      </c>
      <c r="L43" s="200">
        <v>1</v>
      </c>
      <c r="M43" s="204">
        <v>1</v>
      </c>
      <c r="N43" s="682">
        <f t="shared" si="5"/>
        <v>0.78069599999999995</v>
      </c>
      <c r="O43" s="216"/>
      <c r="P43" s="719"/>
      <c r="R43" s="678">
        <v>761544</v>
      </c>
      <c r="S43" s="678">
        <f>+R43</f>
        <v>761544</v>
      </c>
      <c r="T43" s="678"/>
      <c r="U43" s="678">
        <v>780696</v>
      </c>
      <c r="V43" s="678"/>
      <c r="W43" s="677">
        <f t="shared" si="4"/>
        <v>780696</v>
      </c>
    </row>
    <row r="44" spans="1:23" s="7" customFormat="1" ht="14.25">
      <c r="A44" s="22">
        <v>14</v>
      </c>
      <c r="B44" s="201">
        <v>8</v>
      </c>
      <c r="C44" s="204">
        <v>8</v>
      </c>
      <c r="D44" s="720">
        <v>5.0471399999999997</v>
      </c>
      <c r="E44" s="204"/>
      <c r="F44" s="721"/>
      <c r="G44" s="201">
        <v>4</v>
      </c>
      <c r="H44" s="204">
        <v>4</v>
      </c>
      <c r="I44" s="217">
        <f t="shared" si="7"/>
        <v>2.6089560000000001</v>
      </c>
      <c r="J44" s="216"/>
      <c r="K44" s="683">
        <f t="shared" si="6"/>
        <v>2</v>
      </c>
      <c r="L44" s="201">
        <v>4</v>
      </c>
      <c r="M44" s="204">
        <v>4</v>
      </c>
      <c r="N44" s="682">
        <f t="shared" si="5"/>
        <v>2.6812559999999999</v>
      </c>
      <c r="O44" s="216"/>
      <c r="P44" s="719">
        <f>+K44</f>
        <v>2</v>
      </c>
      <c r="R44" s="678">
        <v>2808956</v>
      </c>
      <c r="S44" s="678">
        <v>2608956</v>
      </c>
      <c r="T44" s="678"/>
      <c r="U44" s="678">
        <v>2681256</v>
      </c>
      <c r="V44" s="678"/>
      <c r="W44" s="677">
        <f t="shared" si="4"/>
        <v>2681256</v>
      </c>
    </row>
    <row r="45" spans="1:23" s="7" customFormat="1" ht="14.25">
      <c r="A45" s="22">
        <v>13</v>
      </c>
      <c r="B45" s="201"/>
      <c r="C45" s="204"/>
      <c r="D45" s="720"/>
      <c r="E45" s="204"/>
      <c r="F45" s="721"/>
      <c r="G45" s="201"/>
      <c r="H45" s="204"/>
      <c r="I45" s="720"/>
      <c r="J45" s="216"/>
      <c r="K45" s="683">
        <f t="shared" si="6"/>
        <v>0</v>
      </c>
      <c r="L45" s="201"/>
      <c r="M45" s="204"/>
      <c r="N45" s="682">
        <f t="shared" si="5"/>
        <v>0</v>
      </c>
      <c r="O45" s="216"/>
      <c r="P45" s="721"/>
      <c r="R45" s="678"/>
      <c r="S45" s="678"/>
      <c r="T45" s="678"/>
      <c r="U45" s="678"/>
      <c r="V45" s="678"/>
      <c r="W45" s="677">
        <f t="shared" si="4"/>
        <v>0</v>
      </c>
    </row>
    <row r="46" spans="1:23" s="7" customFormat="1" ht="14.25">
      <c r="A46" s="22">
        <v>12</v>
      </c>
      <c r="B46" s="201"/>
      <c r="C46" s="204"/>
      <c r="D46" s="720"/>
      <c r="E46" s="204"/>
      <c r="F46" s="721"/>
      <c r="G46" s="201"/>
      <c r="H46" s="204"/>
      <c r="I46" s="720"/>
      <c r="J46" s="216"/>
      <c r="K46" s="683">
        <f t="shared" si="6"/>
        <v>0</v>
      </c>
      <c r="L46" s="201"/>
      <c r="M46" s="204"/>
      <c r="N46" s="682">
        <f t="shared" si="5"/>
        <v>0</v>
      </c>
      <c r="O46" s="216"/>
      <c r="P46" s="721"/>
      <c r="R46" s="678"/>
      <c r="S46" s="678"/>
      <c r="T46" s="678"/>
      <c r="U46" s="678"/>
      <c r="V46" s="678"/>
      <c r="W46" s="677">
        <f t="shared" si="4"/>
        <v>0</v>
      </c>
    </row>
    <row r="47" spans="1:23" s="7" customFormat="1" ht="14.25">
      <c r="A47" s="22">
        <v>11</v>
      </c>
      <c r="B47" s="201">
        <v>4</v>
      </c>
      <c r="C47" s="204">
        <v>1</v>
      </c>
      <c r="D47" s="720">
        <v>0.385716</v>
      </c>
      <c r="E47" s="204">
        <v>3</v>
      </c>
      <c r="F47" s="721">
        <v>0.87929999999999997</v>
      </c>
      <c r="G47" s="201">
        <v>5</v>
      </c>
      <c r="H47" s="204">
        <v>2</v>
      </c>
      <c r="I47" s="217">
        <f>SUM(S47/1000000)</f>
        <v>0.98294400000000004</v>
      </c>
      <c r="J47" s="216">
        <f t="shared" si="8"/>
        <v>3</v>
      </c>
      <c r="K47" s="683">
        <f t="shared" si="6"/>
        <v>9.5788799999999998</v>
      </c>
      <c r="L47" s="201">
        <v>5</v>
      </c>
      <c r="M47" s="204">
        <v>2</v>
      </c>
      <c r="N47" s="682">
        <f t="shared" si="5"/>
        <v>1.0156799999999999</v>
      </c>
      <c r="O47" s="216">
        <f t="shared" si="9"/>
        <v>3</v>
      </c>
      <c r="P47" s="719">
        <f>+K47</f>
        <v>9.5788799999999998</v>
      </c>
      <c r="R47" s="678">
        <v>1940832</v>
      </c>
      <c r="S47" s="678">
        <v>982944</v>
      </c>
      <c r="T47" s="678"/>
      <c r="U47" s="678">
        <v>1015680</v>
      </c>
      <c r="V47" s="678"/>
      <c r="W47" s="677">
        <f t="shared" si="4"/>
        <v>1015680</v>
      </c>
    </row>
    <row r="48" spans="1:23" s="7" customFormat="1" ht="14.25">
      <c r="A48" s="22">
        <v>10</v>
      </c>
      <c r="B48" s="201"/>
      <c r="C48" s="204"/>
      <c r="D48" s="720"/>
      <c r="E48" s="204"/>
      <c r="F48" s="721"/>
      <c r="G48" s="201"/>
      <c r="H48" s="204"/>
      <c r="I48" s="720"/>
      <c r="J48" s="216"/>
      <c r="K48" s="683">
        <f t="shared" si="6"/>
        <v>0</v>
      </c>
      <c r="L48" s="201"/>
      <c r="M48" s="204"/>
      <c r="N48" s="682">
        <f t="shared" si="5"/>
        <v>0</v>
      </c>
      <c r="O48" s="216"/>
      <c r="P48" s="721"/>
      <c r="R48" s="678"/>
      <c r="S48" s="678"/>
      <c r="T48" s="678"/>
      <c r="U48" s="678"/>
      <c r="V48" s="678"/>
      <c r="W48" s="677">
        <f t="shared" si="4"/>
        <v>0</v>
      </c>
    </row>
    <row r="49" spans="1:23" s="7" customFormat="1" ht="14.25">
      <c r="A49" s="22">
        <v>9</v>
      </c>
      <c r="B49" s="201"/>
      <c r="C49" s="204"/>
      <c r="D49" s="720"/>
      <c r="E49" s="204"/>
      <c r="F49" s="721"/>
      <c r="G49" s="201"/>
      <c r="H49" s="204"/>
      <c r="I49" s="720"/>
      <c r="J49" s="216"/>
      <c r="K49" s="683">
        <f t="shared" si="6"/>
        <v>0</v>
      </c>
      <c r="L49" s="201"/>
      <c r="M49" s="204"/>
      <c r="N49" s="682">
        <f t="shared" si="5"/>
        <v>0</v>
      </c>
      <c r="O49" s="216"/>
      <c r="P49" s="721"/>
      <c r="R49" s="678"/>
      <c r="S49" s="678"/>
      <c r="T49" s="678"/>
      <c r="U49" s="678"/>
      <c r="V49" s="678"/>
      <c r="W49" s="677">
        <f t="shared" si="4"/>
        <v>0</v>
      </c>
    </row>
    <row r="50" spans="1:23" s="7" customFormat="1" ht="14.25">
      <c r="A50" s="22">
        <v>8</v>
      </c>
      <c r="B50" s="201">
        <v>3</v>
      </c>
      <c r="C50" s="204">
        <v>3</v>
      </c>
      <c r="D50" s="720">
        <v>1.162776</v>
      </c>
      <c r="E50" s="204"/>
      <c r="F50" s="721"/>
      <c r="G50" s="201">
        <v>3</v>
      </c>
      <c r="H50" s="204">
        <v>3</v>
      </c>
      <c r="I50" s="217">
        <f t="shared" ref="I50:I54" si="10">SUM(S50/1000000)</f>
        <v>1.260648</v>
      </c>
      <c r="J50" s="216"/>
      <c r="K50" s="683">
        <f t="shared" si="6"/>
        <v>0</v>
      </c>
      <c r="L50" s="201">
        <v>3</v>
      </c>
      <c r="M50" s="204">
        <v>3</v>
      </c>
      <c r="N50" s="682">
        <f t="shared" si="5"/>
        <v>1.298028</v>
      </c>
      <c r="O50" s="216"/>
      <c r="P50" s="719"/>
      <c r="R50" s="678">
        <v>1260648</v>
      </c>
      <c r="S50" s="678">
        <f>+R50</f>
        <v>1260648</v>
      </c>
      <c r="T50" s="678"/>
      <c r="U50" s="678">
        <v>1298028</v>
      </c>
      <c r="V50" s="678"/>
      <c r="W50" s="677">
        <f t="shared" si="4"/>
        <v>1298028</v>
      </c>
    </row>
    <row r="51" spans="1:23" s="7" customFormat="1" ht="14.25">
      <c r="A51" s="22">
        <v>7</v>
      </c>
      <c r="B51" s="201">
        <v>6</v>
      </c>
      <c r="C51" s="204">
        <v>4</v>
      </c>
      <c r="D51" s="720">
        <v>1.820028</v>
      </c>
      <c r="E51" s="204">
        <v>2</v>
      </c>
      <c r="F51" s="721">
        <v>0.496392</v>
      </c>
      <c r="G51" s="201">
        <v>8</v>
      </c>
      <c r="H51" s="204">
        <v>6</v>
      </c>
      <c r="I51" s="217">
        <f t="shared" si="10"/>
        <v>2.9944799999999998</v>
      </c>
      <c r="J51" s="216">
        <f t="shared" si="8"/>
        <v>2</v>
      </c>
      <c r="K51" s="683">
        <f t="shared" si="6"/>
        <v>5.4184799999999997</v>
      </c>
      <c r="L51" s="201">
        <v>8</v>
      </c>
      <c r="M51" s="204">
        <v>6</v>
      </c>
      <c r="N51" s="682">
        <f t="shared" si="5"/>
        <v>3.052308</v>
      </c>
      <c r="O51" s="216">
        <f t="shared" si="9"/>
        <v>2</v>
      </c>
      <c r="P51" s="719">
        <f>+K51</f>
        <v>5.4184799999999997</v>
      </c>
      <c r="R51" s="678">
        <v>3536328</v>
      </c>
      <c r="S51" s="678">
        <v>2994480</v>
      </c>
      <c r="T51" s="678"/>
      <c r="U51" s="678">
        <v>3052308</v>
      </c>
      <c r="V51" s="678"/>
      <c r="W51" s="677">
        <f t="shared" si="4"/>
        <v>3052308</v>
      </c>
    </row>
    <row r="52" spans="1:23" s="7" customFormat="1" ht="14.25">
      <c r="A52" s="22">
        <v>6</v>
      </c>
      <c r="B52" s="201">
        <v>6</v>
      </c>
      <c r="C52" s="204">
        <v>6</v>
      </c>
      <c r="D52" s="720">
        <v>2.4171480000000001</v>
      </c>
      <c r="E52" s="204"/>
      <c r="F52" s="721"/>
      <c r="G52" s="201">
        <v>7</v>
      </c>
      <c r="H52" s="204">
        <v>7</v>
      </c>
      <c r="I52" s="217">
        <f t="shared" si="10"/>
        <v>2.9889239999999999</v>
      </c>
      <c r="J52" s="216"/>
      <c r="K52" s="683">
        <f t="shared" si="6"/>
        <v>0</v>
      </c>
      <c r="L52" s="201">
        <v>7</v>
      </c>
      <c r="M52" s="204">
        <v>7</v>
      </c>
      <c r="N52" s="682">
        <f t="shared" si="5"/>
        <v>3.061836</v>
      </c>
      <c r="O52" s="216"/>
      <c r="P52" s="719"/>
      <c r="R52" s="678">
        <v>2988924</v>
      </c>
      <c r="S52" s="678">
        <v>2988924</v>
      </c>
      <c r="T52" s="678"/>
      <c r="U52" s="678">
        <v>3061836</v>
      </c>
      <c r="V52" s="678"/>
      <c r="W52" s="677">
        <f t="shared" si="4"/>
        <v>3061836</v>
      </c>
    </row>
    <row r="53" spans="1:23" s="7" customFormat="1" ht="14.25">
      <c r="A53" s="22">
        <v>5</v>
      </c>
      <c r="B53" s="201">
        <v>3</v>
      </c>
      <c r="C53" s="204">
        <v>3</v>
      </c>
      <c r="D53" s="720">
        <v>0.92577600000000004</v>
      </c>
      <c r="E53" s="204"/>
      <c r="F53" s="721"/>
      <c r="G53" s="201">
        <v>3</v>
      </c>
      <c r="H53" s="204">
        <v>3</v>
      </c>
      <c r="I53" s="217">
        <f t="shared" si="10"/>
        <v>1.044672</v>
      </c>
      <c r="J53" s="216"/>
      <c r="K53" s="683">
        <f t="shared" si="6"/>
        <v>0</v>
      </c>
      <c r="L53" s="201">
        <v>3</v>
      </c>
      <c r="M53" s="204">
        <v>3</v>
      </c>
      <c r="N53" s="682">
        <f t="shared" si="5"/>
        <v>1.0725720000000001</v>
      </c>
      <c r="O53" s="216"/>
      <c r="P53" s="719"/>
      <c r="R53" s="678">
        <v>1044672</v>
      </c>
      <c r="S53" s="678">
        <f>+R53</f>
        <v>1044672</v>
      </c>
      <c r="T53" s="678"/>
      <c r="U53" s="678">
        <v>1072572</v>
      </c>
      <c r="V53" s="678"/>
      <c r="W53" s="677">
        <f t="shared" si="4"/>
        <v>1072572</v>
      </c>
    </row>
    <row r="54" spans="1:23" s="7" customFormat="1" ht="14.25">
      <c r="A54" s="22">
        <v>4</v>
      </c>
      <c r="B54" s="201">
        <v>11</v>
      </c>
      <c r="C54" s="204">
        <v>11</v>
      </c>
      <c r="D54" s="720">
        <v>3.3429000000000002</v>
      </c>
      <c r="E54" s="204"/>
      <c r="F54" s="721"/>
      <c r="G54" s="201">
        <v>11</v>
      </c>
      <c r="H54" s="204">
        <v>11</v>
      </c>
      <c r="I54" s="217">
        <f t="shared" si="10"/>
        <v>3.6446040000000002</v>
      </c>
      <c r="J54" s="216"/>
      <c r="K54" s="683">
        <f t="shared" si="6"/>
        <v>0</v>
      </c>
      <c r="L54" s="201">
        <v>11</v>
      </c>
      <c r="M54" s="204">
        <v>11</v>
      </c>
      <c r="N54" s="682">
        <f t="shared" si="5"/>
        <v>3.7346279999999998</v>
      </c>
      <c r="O54" s="216"/>
      <c r="P54" s="719"/>
      <c r="R54" s="678">
        <v>3644604</v>
      </c>
      <c r="S54" s="678">
        <f>+R54</f>
        <v>3644604</v>
      </c>
      <c r="T54" s="678"/>
      <c r="U54" s="678">
        <v>3734628</v>
      </c>
      <c r="V54" s="678"/>
      <c r="W54" s="677">
        <f t="shared" si="4"/>
        <v>3734628</v>
      </c>
    </row>
    <row r="55" spans="1:23" s="7" customFormat="1" ht="14.25">
      <c r="A55" s="22">
        <v>3</v>
      </c>
      <c r="B55" s="201"/>
      <c r="C55" s="204"/>
      <c r="D55" s="720"/>
      <c r="E55" s="204"/>
      <c r="F55" s="721"/>
      <c r="G55" s="201"/>
      <c r="H55" s="204"/>
      <c r="I55" s="720"/>
      <c r="J55" s="216"/>
      <c r="K55" s="721"/>
      <c r="L55" s="201"/>
      <c r="M55" s="204"/>
      <c r="N55" s="682">
        <f t="shared" si="5"/>
        <v>0</v>
      </c>
      <c r="O55" s="216"/>
      <c r="P55" s="721"/>
      <c r="R55" s="678"/>
      <c r="S55" s="678"/>
      <c r="T55" s="678"/>
      <c r="U55" s="678"/>
      <c r="V55" s="678"/>
      <c r="W55" s="677">
        <f t="shared" si="4"/>
        <v>0</v>
      </c>
    </row>
    <row r="56" spans="1:23" s="7" customFormat="1" ht="14.25">
      <c r="A56" s="22">
        <v>2</v>
      </c>
      <c r="B56" s="201"/>
      <c r="C56" s="204"/>
      <c r="D56" s="720"/>
      <c r="E56" s="204"/>
      <c r="F56" s="721"/>
      <c r="G56" s="201"/>
      <c r="H56" s="204"/>
      <c r="I56" s="720"/>
      <c r="J56" s="216"/>
      <c r="K56" s="721"/>
      <c r="L56" s="201"/>
      <c r="M56" s="204"/>
      <c r="N56" s="682">
        <f t="shared" si="5"/>
        <v>0</v>
      </c>
      <c r="O56" s="216"/>
      <c r="P56" s="721"/>
      <c r="R56" s="678"/>
      <c r="S56" s="678"/>
      <c r="T56" s="678"/>
      <c r="U56" s="678"/>
      <c r="V56" s="678"/>
      <c r="W56" s="677">
        <f t="shared" si="4"/>
        <v>0</v>
      </c>
    </row>
    <row r="57" spans="1:23" s="7" customFormat="1" ht="14.25">
      <c r="A57" s="22">
        <v>1</v>
      </c>
      <c r="B57" s="201"/>
      <c r="C57" s="204"/>
      <c r="D57" s="720"/>
      <c r="E57" s="204"/>
      <c r="F57" s="721"/>
      <c r="G57" s="201"/>
      <c r="H57" s="204"/>
      <c r="I57" s="720"/>
      <c r="J57" s="216"/>
      <c r="K57" s="721"/>
      <c r="L57" s="201"/>
      <c r="M57" s="204"/>
      <c r="N57" s="720"/>
      <c r="O57" s="216"/>
      <c r="P57" s="721"/>
      <c r="R57" s="678"/>
      <c r="S57" s="678"/>
      <c r="T57" s="678"/>
      <c r="U57" s="678"/>
      <c r="V57" s="678"/>
      <c r="W57" s="677">
        <f t="shared" si="4"/>
        <v>0</v>
      </c>
    </row>
    <row r="58" spans="1:23">
      <c r="A58" s="339" t="s">
        <v>138</v>
      </c>
      <c r="B58" s="340">
        <f t="shared" ref="B58:P58" si="11">SUM(B36:B57)</f>
        <v>67</v>
      </c>
      <c r="C58" s="340">
        <f t="shared" si="11"/>
        <v>56</v>
      </c>
      <c r="D58" s="341">
        <f t="shared" si="11"/>
        <v>32.667155999999999</v>
      </c>
      <c r="E58" s="340">
        <f t="shared" si="11"/>
        <v>11</v>
      </c>
      <c r="F58" s="341">
        <f t="shared" si="11"/>
        <v>4.4134080000000004</v>
      </c>
      <c r="G58" s="340">
        <f t="shared" si="11"/>
        <v>71</v>
      </c>
      <c r="H58" s="340">
        <f t="shared" si="11"/>
        <v>60</v>
      </c>
      <c r="I58" s="341">
        <f t="shared" si="11"/>
        <v>37.557935999999998</v>
      </c>
      <c r="J58" s="340">
        <f t="shared" si="11"/>
        <v>11</v>
      </c>
      <c r="K58" s="341">
        <f t="shared" si="11"/>
        <v>49.386800000000001</v>
      </c>
      <c r="L58" s="340">
        <f t="shared" si="11"/>
        <v>71</v>
      </c>
      <c r="M58" s="340">
        <f t="shared" si="11"/>
        <v>60</v>
      </c>
      <c r="N58" s="341">
        <f t="shared" si="11"/>
        <v>38.531112</v>
      </c>
      <c r="O58" s="340">
        <f t="shared" si="11"/>
        <v>11</v>
      </c>
      <c r="P58" s="712">
        <f t="shared" si="11"/>
        <v>49.386800000000001</v>
      </c>
    </row>
    <row r="59" spans="1:23" ht="18">
      <c r="A59" s="1429" t="s">
        <v>1315</v>
      </c>
      <c r="B59" s="1429"/>
      <c r="C59" s="1429"/>
      <c r="D59" s="1429"/>
      <c r="E59" s="1429"/>
      <c r="F59" s="1429"/>
      <c r="G59" s="1429"/>
      <c r="H59" s="1429"/>
      <c r="I59" s="1429"/>
      <c r="J59" s="1429"/>
      <c r="K59" s="1429"/>
      <c r="L59" s="1429"/>
      <c r="M59" s="1429"/>
      <c r="N59" s="1429"/>
      <c r="O59" s="1429"/>
      <c r="P59" s="1429"/>
      <c r="Q59" s="7"/>
      <c r="R59" s="678"/>
      <c r="S59" s="678"/>
      <c r="T59" s="678"/>
      <c r="U59" s="678"/>
      <c r="V59" s="678"/>
      <c r="W59" s="7"/>
    </row>
    <row r="60" spans="1:23">
      <c r="A60" s="1434" t="s">
        <v>873</v>
      </c>
      <c r="B60" s="1437" t="str">
        <f>+$B$6</f>
        <v>Status during last FY 2017-18</v>
      </c>
      <c r="C60" s="1438"/>
      <c r="D60" s="1438"/>
      <c r="E60" s="1438"/>
      <c r="F60" s="1439"/>
      <c r="G60" s="1437" t="str">
        <f>+$G$6</f>
        <v>Status during current FY 2018-19</v>
      </c>
      <c r="H60" s="1438"/>
      <c r="I60" s="1438"/>
      <c r="J60" s="1438"/>
      <c r="K60" s="1439"/>
      <c r="L60" s="1437" t="str">
        <f>+$L$6</f>
        <v>Planned for next FY 2019-20</v>
      </c>
      <c r="M60" s="1438"/>
      <c r="N60" s="1438"/>
      <c r="O60" s="1438"/>
      <c r="P60" s="1439"/>
      <c r="Q60" s="7"/>
      <c r="R60" s="678"/>
      <c r="S60" s="678"/>
      <c r="T60" s="678"/>
      <c r="U60" s="678"/>
      <c r="V60" s="678"/>
      <c r="W60" s="7"/>
    </row>
    <row r="61" spans="1:23">
      <c r="A61" s="1435"/>
      <c r="B61" s="1431" t="s">
        <v>872</v>
      </c>
      <c r="C61" s="1411" t="s">
        <v>134</v>
      </c>
      <c r="D61" s="1411"/>
      <c r="E61" s="1412" t="s">
        <v>135</v>
      </c>
      <c r="F61" s="1413"/>
      <c r="G61" s="1431" t="s">
        <v>869</v>
      </c>
      <c r="H61" s="1411" t="s">
        <v>134</v>
      </c>
      <c r="I61" s="1411"/>
      <c r="J61" s="1412" t="s">
        <v>135</v>
      </c>
      <c r="K61" s="1413"/>
      <c r="L61" s="1431" t="s">
        <v>869</v>
      </c>
      <c r="M61" s="1411" t="s">
        <v>134</v>
      </c>
      <c r="N61" s="1411"/>
      <c r="O61" s="1412" t="s">
        <v>135</v>
      </c>
      <c r="P61" s="1413"/>
      <c r="Q61" s="7"/>
      <c r="R61" s="1433" t="s">
        <v>1310</v>
      </c>
      <c r="S61" s="1433"/>
      <c r="T61" s="1433"/>
      <c r="U61" s="1430" t="s">
        <v>1311</v>
      </c>
      <c r="V61" s="1430"/>
      <c r="W61" s="1430"/>
    </row>
    <row r="62" spans="1:23" ht="42.75">
      <c r="A62" s="1436"/>
      <c r="B62" s="1432"/>
      <c r="C62" s="199" t="s">
        <v>153</v>
      </c>
      <c r="D62" s="665" t="s">
        <v>868</v>
      </c>
      <c r="E62" s="199" t="s">
        <v>153</v>
      </c>
      <c r="F62" s="666" t="s">
        <v>868</v>
      </c>
      <c r="G62" s="1432"/>
      <c r="H62" s="199" t="s">
        <v>153</v>
      </c>
      <c r="I62" s="665" t="s">
        <v>868</v>
      </c>
      <c r="J62" s="199" t="s">
        <v>153</v>
      </c>
      <c r="K62" s="666" t="s">
        <v>868</v>
      </c>
      <c r="L62" s="1432"/>
      <c r="M62" s="199" t="s">
        <v>153</v>
      </c>
      <c r="N62" s="665" t="s">
        <v>868</v>
      </c>
      <c r="O62" s="199" t="s">
        <v>153</v>
      </c>
      <c r="P62" s="666" t="s">
        <v>868</v>
      </c>
      <c r="Q62" s="7"/>
      <c r="R62" s="714" t="s">
        <v>1313</v>
      </c>
      <c r="S62" s="715" t="s">
        <v>1314</v>
      </c>
      <c r="T62" s="714"/>
      <c r="U62" s="714" t="s">
        <v>1313</v>
      </c>
      <c r="V62" s="715" t="s">
        <v>1314</v>
      </c>
      <c r="W62" s="309"/>
    </row>
    <row r="63" spans="1:23" ht="14.25">
      <c r="A63" s="708">
        <v>22</v>
      </c>
      <c r="B63" s="716"/>
      <c r="C63" s="717"/>
      <c r="D63" s="213"/>
      <c r="E63" s="717"/>
      <c r="F63" s="214"/>
      <c r="G63" s="716"/>
      <c r="H63" s="717"/>
      <c r="I63" s="675"/>
      <c r="J63" s="717"/>
      <c r="K63" s="214"/>
      <c r="L63" s="716"/>
      <c r="M63" s="717"/>
      <c r="N63" s="213"/>
      <c r="O63" s="717"/>
      <c r="P63" s="718"/>
      <c r="Q63" s="7"/>
      <c r="R63" s="678"/>
      <c r="S63" s="678"/>
      <c r="T63" s="678"/>
      <c r="U63" s="678"/>
      <c r="V63" s="678"/>
      <c r="W63" s="677">
        <f t="shared" ref="W63:W84" si="12">SUM(U63-V63)</f>
        <v>0</v>
      </c>
    </row>
    <row r="64" spans="1:23" ht="14.25">
      <c r="A64" s="14">
        <v>21</v>
      </c>
      <c r="B64" s="215"/>
      <c r="C64" s="216"/>
      <c r="D64" s="217"/>
      <c r="E64" s="216"/>
      <c r="F64" s="218"/>
      <c r="G64" s="215"/>
      <c r="H64" s="216"/>
      <c r="I64" s="682"/>
      <c r="J64" s="216"/>
      <c r="K64" s="218"/>
      <c r="L64" s="215"/>
      <c r="M64" s="216"/>
      <c r="N64" s="217"/>
      <c r="O64" s="216"/>
      <c r="P64" s="719"/>
      <c r="Q64" s="7"/>
      <c r="R64" s="678"/>
      <c r="S64" s="678"/>
      <c r="T64" s="678"/>
      <c r="U64" s="678"/>
      <c r="V64" s="678"/>
      <c r="W64" s="677">
        <f t="shared" si="12"/>
        <v>0</v>
      </c>
    </row>
    <row r="65" spans="1:23" ht="14.25">
      <c r="A65" s="14">
        <v>20</v>
      </c>
      <c r="B65" s="215"/>
      <c r="C65" s="216"/>
      <c r="D65" s="217"/>
      <c r="E65" s="216"/>
      <c r="F65" s="218"/>
      <c r="G65" s="215"/>
      <c r="H65" s="216"/>
      <c r="I65" s="682"/>
      <c r="J65" s="216"/>
      <c r="K65" s="218"/>
      <c r="L65" s="215"/>
      <c r="M65" s="216"/>
      <c r="N65" s="217"/>
      <c r="O65" s="216"/>
      <c r="P65" s="719"/>
      <c r="Q65" s="7"/>
      <c r="R65" s="678"/>
      <c r="S65" s="678"/>
      <c r="T65" s="678"/>
      <c r="U65" s="678"/>
      <c r="V65" s="678"/>
      <c r="W65" s="677">
        <f t="shared" si="12"/>
        <v>0</v>
      </c>
    </row>
    <row r="66" spans="1:23" ht="14.25">
      <c r="A66" s="710">
        <v>19</v>
      </c>
      <c r="B66" s="215"/>
      <c r="C66" s="216"/>
      <c r="D66" s="217"/>
      <c r="E66" s="216"/>
      <c r="F66" s="218"/>
      <c r="G66" s="215"/>
      <c r="H66" s="216"/>
      <c r="I66" s="682"/>
      <c r="J66" s="216"/>
      <c r="K66" s="218"/>
      <c r="L66" s="215"/>
      <c r="M66" s="216"/>
      <c r="N66" s="217"/>
      <c r="O66" s="216"/>
      <c r="P66" s="719"/>
      <c r="Q66" s="7"/>
      <c r="R66" s="678"/>
      <c r="S66" s="678"/>
      <c r="T66" s="678"/>
      <c r="U66" s="678"/>
      <c r="V66" s="678"/>
      <c r="W66" s="677">
        <f t="shared" si="12"/>
        <v>0</v>
      </c>
    </row>
    <row r="67" spans="1:23" ht="14.25">
      <c r="A67" s="14">
        <v>18</v>
      </c>
      <c r="B67" s="215">
        <v>1</v>
      </c>
      <c r="C67" s="216">
        <v>1</v>
      </c>
      <c r="D67" s="217">
        <v>1.692612</v>
      </c>
      <c r="E67" s="216"/>
      <c r="F67" s="218"/>
      <c r="G67" s="215">
        <v>1</v>
      </c>
      <c r="H67" s="216">
        <v>1</v>
      </c>
      <c r="I67" s="682">
        <f>SUM(S67/1000000)</f>
        <v>1.9462200000000001</v>
      </c>
      <c r="J67" s="216"/>
      <c r="K67" s="683">
        <f t="shared" ref="K67:K83" si="13">SUM(R67-S67)/100000</f>
        <v>0</v>
      </c>
      <c r="L67" s="215">
        <v>1</v>
      </c>
      <c r="M67" s="216">
        <v>1</v>
      </c>
      <c r="N67" s="682">
        <f t="shared" ref="N67:N83" si="14">SUM(U67/1000000)</f>
        <v>1.9875480000000001</v>
      </c>
      <c r="O67" s="216"/>
      <c r="P67" s="719">
        <f>+K67</f>
        <v>0</v>
      </c>
      <c r="Q67" s="7"/>
      <c r="R67" s="678">
        <v>1946220</v>
      </c>
      <c r="S67" s="678">
        <f>+R67</f>
        <v>1946220</v>
      </c>
      <c r="T67" s="678"/>
      <c r="U67" s="678">
        <v>1987548</v>
      </c>
      <c r="V67" s="678"/>
      <c r="W67" s="677">
        <f t="shared" si="12"/>
        <v>1987548</v>
      </c>
    </row>
    <row r="68" spans="1:23" ht="14.25">
      <c r="A68" s="14">
        <v>17</v>
      </c>
      <c r="B68" s="215">
        <v>11</v>
      </c>
      <c r="C68" s="216">
        <v>8</v>
      </c>
      <c r="D68" s="217">
        <v>8.5516559999999995</v>
      </c>
      <c r="E68" s="216">
        <v>3</v>
      </c>
      <c r="F68" s="218">
        <v>2.1209760000000002</v>
      </c>
      <c r="G68" s="215">
        <v>9</v>
      </c>
      <c r="H68" s="216">
        <v>6</v>
      </c>
      <c r="I68" s="682">
        <f t="shared" ref="I68:I81" si="15">SUM(S68/1000000)</f>
        <v>6.7856160000000001</v>
      </c>
      <c r="J68" s="216">
        <f t="shared" ref="J68:J78" si="16">SUM(G68-H68)</f>
        <v>3</v>
      </c>
      <c r="K68" s="683">
        <f t="shared" si="13"/>
        <v>20.840879999999999</v>
      </c>
      <c r="L68" s="215">
        <v>9</v>
      </c>
      <c r="M68" s="216">
        <v>6</v>
      </c>
      <c r="N68" s="682">
        <f t="shared" si="14"/>
        <v>6.9843359999999999</v>
      </c>
      <c r="O68" s="216">
        <f t="shared" ref="O68:O69" si="17">SUM(L68-M68)</f>
        <v>3</v>
      </c>
      <c r="P68" s="719">
        <f>+K68</f>
        <v>20.840879999999999</v>
      </c>
      <c r="Q68" s="7"/>
      <c r="R68" s="678">
        <v>8869704</v>
      </c>
      <c r="S68" s="678">
        <v>6785616</v>
      </c>
      <c r="T68" s="678"/>
      <c r="U68" s="678">
        <v>6984336</v>
      </c>
      <c r="V68" s="678"/>
      <c r="W68" s="677">
        <f t="shared" si="12"/>
        <v>6984336</v>
      </c>
    </row>
    <row r="69" spans="1:23" ht="14.25">
      <c r="A69" s="14">
        <v>16</v>
      </c>
      <c r="B69" s="200">
        <v>29</v>
      </c>
      <c r="C69" s="204">
        <v>21</v>
      </c>
      <c r="D69" s="720">
        <v>17.235852000000001</v>
      </c>
      <c r="E69" s="204">
        <v>8</v>
      </c>
      <c r="F69" s="721">
        <v>3.6317400000000002</v>
      </c>
      <c r="G69" s="200">
        <v>28</v>
      </c>
      <c r="H69" s="204">
        <v>19</v>
      </c>
      <c r="I69" s="682">
        <f t="shared" si="15"/>
        <v>16.941336</v>
      </c>
      <c r="J69" s="216">
        <f t="shared" si="16"/>
        <v>9</v>
      </c>
      <c r="K69" s="683">
        <f t="shared" si="13"/>
        <v>44.008920000000003</v>
      </c>
      <c r="L69" s="200">
        <v>28</v>
      </c>
      <c r="M69" s="204">
        <v>19</v>
      </c>
      <c r="N69" s="682">
        <f t="shared" si="14"/>
        <v>17.363592000000001</v>
      </c>
      <c r="O69" s="216">
        <f t="shared" si="17"/>
        <v>9</v>
      </c>
      <c r="P69" s="719">
        <f t="shared" ref="P69:P83" si="18">+K69</f>
        <v>44.008920000000003</v>
      </c>
      <c r="Q69" s="7"/>
      <c r="R69" s="678">
        <v>21342228</v>
      </c>
      <c r="S69" s="678">
        <v>16941336</v>
      </c>
      <c r="T69" s="678"/>
      <c r="U69" s="678">
        <v>17363592</v>
      </c>
      <c r="V69" s="678"/>
      <c r="W69" s="677">
        <f t="shared" si="12"/>
        <v>17363592</v>
      </c>
    </row>
    <row r="70" spans="1:23" ht="14.25">
      <c r="A70" s="14">
        <v>15</v>
      </c>
      <c r="B70" s="200">
        <v>3</v>
      </c>
      <c r="C70" s="204">
        <v>3</v>
      </c>
      <c r="D70" s="720">
        <v>1.9448639999999999</v>
      </c>
      <c r="E70" s="204"/>
      <c r="F70" s="721"/>
      <c r="G70" s="200">
        <v>2</v>
      </c>
      <c r="H70" s="204">
        <v>2</v>
      </c>
      <c r="I70" s="682">
        <f t="shared" si="15"/>
        <v>1.4798640000000001</v>
      </c>
      <c r="J70" s="216"/>
      <c r="K70" s="683">
        <f t="shared" si="13"/>
        <v>0</v>
      </c>
      <c r="L70" s="200">
        <v>2</v>
      </c>
      <c r="M70" s="204">
        <v>2</v>
      </c>
      <c r="N70" s="682">
        <f t="shared" si="14"/>
        <v>1.518168</v>
      </c>
      <c r="O70" s="216"/>
      <c r="P70" s="719">
        <f t="shared" si="18"/>
        <v>0</v>
      </c>
      <c r="Q70" s="7"/>
      <c r="R70" s="678">
        <v>1479864</v>
      </c>
      <c r="S70" s="678">
        <f>+R70</f>
        <v>1479864</v>
      </c>
      <c r="T70" s="678"/>
      <c r="U70" s="678">
        <v>1518168</v>
      </c>
      <c r="V70" s="678"/>
      <c r="W70" s="677">
        <f t="shared" si="12"/>
        <v>1518168</v>
      </c>
    </row>
    <row r="71" spans="1:23" ht="14.25">
      <c r="A71" s="22">
        <v>14</v>
      </c>
      <c r="B71" s="201">
        <v>15</v>
      </c>
      <c r="C71" s="204">
        <v>13</v>
      </c>
      <c r="D71" s="720">
        <v>8.0257559999999994</v>
      </c>
      <c r="E71" s="204">
        <v>2</v>
      </c>
      <c r="F71" s="721">
        <v>0.69451200000000002</v>
      </c>
      <c r="G71" s="201">
        <v>17</v>
      </c>
      <c r="H71" s="204">
        <v>15</v>
      </c>
      <c r="I71" s="682">
        <f t="shared" si="15"/>
        <v>9.9265319999999999</v>
      </c>
      <c r="J71" s="216"/>
      <c r="K71" s="683">
        <f t="shared" si="13"/>
        <v>7.5751200000000001</v>
      </c>
      <c r="L71" s="201">
        <v>17</v>
      </c>
      <c r="M71" s="204">
        <v>15</v>
      </c>
      <c r="N71" s="682">
        <f t="shared" si="14"/>
        <v>10.228344</v>
      </c>
      <c r="O71" s="216"/>
      <c r="P71" s="719">
        <f t="shared" si="18"/>
        <v>7.5751200000000001</v>
      </c>
      <c r="Q71" s="7"/>
      <c r="R71" s="678">
        <v>10684044</v>
      </c>
      <c r="S71" s="678">
        <v>9926532</v>
      </c>
      <c r="T71" s="678"/>
      <c r="U71" s="678">
        <v>10228344</v>
      </c>
      <c r="V71" s="678"/>
      <c r="W71" s="677">
        <f t="shared" si="12"/>
        <v>10228344</v>
      </c>
    </row>
    <row r="72" spans="1:23" ht="14.25">
      <c r="A72" s="22">
        <v>13</v>
      </c>
      <c r="B72" s="201"/>
      <c r="C72" s="204"/>
      <c r="D72" s="720"/>
      <c r="E72" s="204"/>
      <c r="F72" s="721"/>
      <c r="G72" s="201"/>
      <c r="H72" s="204"/>
      <c r="I72" s="682"/>
      <c r="J72" s="216"/>
      <c r="K72" s="683">
        <f t="shared" si="13"/>
        <v>0</v>
      </c>
      <c r="L72" s="201"/>
      <c r="M72" s="204"/>
      <c r="N72" s="682">
        <f t="shared" si="14"/>
        <v>0</v>
      </c>
      <c r="O72" s="216"/>
      <c r="P72" s="719">
        <f t="shared" si="18"/>
        <v>0</v>
      </c>
      <c r="Q72" s="7"/>
      <c r="R72" s="678"/>
      <c r="S72" s="678"/>
      <c r="T72" s="678"/>
      <c r="U72" s="678"/>
      <c r="V72" s="678"/>
      <c r="W72" s="677">
        <f t="shared" si="12"/>
        <v>0</v>
      </c>
    </row>
    <row r="73" spans="1:23" ht="14.25">
      <c r="A73" s="22">
        <v>12</v>
      </c>
      <c r="B73" s="201">
        <v>3</v>
      </c>
      <c r="C73" s="204">
        <v>2</v>
      </c>
      <c r="D73" s="720">
        <v>1.179708</v>
      </c>
      <c r="E73" s="204">
        <v>1</v>
      </c>
      <c r="F73" s="721">
        <v>0.30868800000000002</v>
      </c>
      <c r="G73" s="201">
        <v>3</v>
      </c>
      <c r="H73" s="204">
        <v>2</v>
      </c>
      <c r="I73" s="682">
        <f t="shared" si="15"/>
        <v>1.269156</v>
      </c>
      <c r="J73" s="216"/>
      <c r="K73" s="683">
        <f t="shared" si="13"/>
        <v>3.3643200000000002</v>
      </c>
      <c r="L73" s="201">
        <v>3</v>
      </c>
      <c r="M73" s="204">
        <v>2</v>
      </c>
      <c r="N73" s="682">
        <f t="shared" si="14"/>
        <v>1.3008360000000001</v>
      </c>
      <c r="O73" s="216"/>
      <c r="P73" s="719">
        <f t="shared" si="18"/>
        <v>3.3643200000000002</v>
      </c>
      <c r="Q73" s="7"/>
      <c r="R73" s="678">
        <v>1605588</v>
      </c>
      <c r="S73" s="678">
        <v>1269156</v>
      </c>
      <c r="T73" s="678"/>
      <c r="U73" s="678">
        <v>1300836</v>
      </c>
      <c r="V73" s="678"/>
      <c r="W73" s="677">
        <f t="shared" si="12"/>
        <v>1300836</v>
      </c>
    </row>
    <row r="74" spans="1:23" ht="14.25">
      <c r="A74" s="22">
        <v>11</v>
      </c>
      <c r="B74" s="201">
        <v>10</v>
      </c>
      <c r="C74" s="204">
        <v>9</v>
      </c>
      <c r="D74" s="720">
        <v>4.1054639999999996</v>
      </c>
      <c r="E74" s="204">
        <v>1</v>
      </c>
      <c r="F74" s="721">
        <v>0.29310000000000003</v>
      </c>
      <c r="G74" s="201">
        <v>10</v>
      </c>
      <c r="H74" s="204">
        <v>9</v>
      </c>
      <c r="I74" s="682">
        <f t="shared" si="15"/>
        <v>4.5736679999999996</v>
      </c>
      <c r="J74" s="216">
        <f t="shared" si="16"/>
        <v>1</v>
      </c>
      <c r="K74" s="683">
        <f t="shared" si="13"/>
        <v>3.1929599999999998</v>
      </c>
      <c r="L74" s="201">
        <v>10</v>
      </c>
      <c r="M74" s="204">
        <v>9</v>
      </c>
      <c r="N74" s="682">
        <f t="shared" si="14"/>
        <v>4.7135879999999997</v>
      </c>
      <c r="O74" s="216">
        <f t="shared" ref="O74" si="19">SUM(L74-M74)</f>
        <v>1</v>
      </c>
      <c r="P74" s="719">
        <f t="shared" si="18"/>
        <v>3.1929599999999998</v>
      </c>
      <c r="Q74" s="7"/>
      <c r="R74" s="678">
        <v>4892964</v>
      </c>
      <c r="S74" s="678">
        <v>4573668</v>
      </c>
      <c r="T74" s="678"/>
      <c r="U74" s="678">
        <v>4713588</v>
      </c>
      <c r="V74" s="678"/>
      <c r="W74" s="677">
        <f t="shared" si="12"/>
        <v>4713588</v>
      </c>
    </row>
    <row r="75" spans="1:23" ht="14.25">
      <c r="A75" s="22">
        <v>10</v>
      </c>
      <c r="B75" s="201"/>
      <c r="C75" s="204"/>
      <c r="D75" s="720"/>
      <c r="E75" s="204"/>
      <c r="F75" s="721"/>
      <c r="G75" s="201"/>
      <c r="H75" s="204"/>
      <c r="I75" s="682"/>
      <c r="J75" s="216"/>
      <c r="K75" s="683">
        <f t="shared" si="13"/>
        <v>0</v>
      </c>
      <c r="L75" s="201"/>
      <c r="M75" s="204"/>
      <c r="N75" s="682">
        <f t="shared" si="14"/>
        <v>0</v>
      </c>
      <c r="O75" s="216"/>
      <c r="P75" s="719">
        <f t="shared" si="18"/>
        <v>0</v>
      </c>
      <c r="Q75" s="7"/>
      <c r="R75" s="678"/>
      <c r="S75" s="678"/>
      <c r="T75" s="678"/>
      <c r="U75" s="678"/>
      <c r="V75" s="678"/>
      <c r="W75" s="677">
        <f t="shared" si="12"/>
        <v>0</v>
      </c>
    </row>
    <row r="76" spans="1:23" ht="14.25">
      <c r="A76" s="22">
        <v>9</v>
      </c>
      <c r="B76" s="201"/>
      <c r="C76" s="204"/>
      <c r="D76" s="720"/>
      <c r="E76" s="204"/>
      <c r="F76" s="721"/>
      <c r="G76" s="201"/>
      <c r="H76" s="204"/>
      <c r="I76" s="682"/>
      <c r="J76" s="216"/>
      <c r="K76" s="683">
        <f t="shared" si="13"/>
        <v>0</v>
      </c>
      <c r="L76" s="201"/>
      <c r="M76" s="204"/>
      <c r="N76" s="682">
        <f t="shared" si="14"/>
        <v>0</v>
      </c>
      <c r="O76" s="216"/>
      <c r="P76" s="719">
        <f t="shared" si="18"/>
        <v>0</v>
      </c>
      <c r="Q76" s="7"/>
      <c r="R76" s="678"/>
      <c r="S76" s="678"/>
      <c r="T76" s="678"/>
      <c r="U76" s="678"/>
      <c r="V76" s="678"/>
      <c r="W76" s="677">
        <f t="shared" si="12"/>
        <v>0</v>
      </c>
    </row>
    <row r="77" spans="1:23" ht="14.25">
      <c r="A77" s="22">
        <v>8</v>
      </c>
      <c r="B77" s="201">
        <v>1</v>
      </c>
      <c r="C77" s="204">
        <v>1</v>
      </c>
      <c r="D77" s="720">
        <v>0.44938800000000001</v>
      </c>
      <c r="E77" s="204"/>
      <c r="F77" s="721"/>
      <c r="G77" s="201">
        <v>1</v>
      </c>
      <c r="H77" s="204">
        <v>1</v>
      </c>
      <c r="I77" s="682">
        <f t="shared" si="15"/>
        <v>0.48475200000000002</v>
      </c>
      <c r="J77" s="216"/>
      <c r="K77" s="683">
        <f t="shared" si="13"/>
        <v>0</v>
      </c>
      <c r="L77" s="201">
        <v>1</v>
      </c>
      <c r="M77" s="204">
        <v>1</v>
      </c>
      <c r="N77" s="682">
        <f t="shared" si="14"/>
        <v>0.49722</v>
      </c>
      <c r="O77" s="216"/>
      <c r="P77" s="719">
        <f t="shared" si="18"/>
        <v>0</v>
      </c>
      <c r="Q77" s="7"/>
      <c r="R77" s="678">
        <v>484752</v>
      </c>
      <c r="S77" s="678">
        <f>+R77</f>
        <v>484752</v>
      </c>
      <c r="T77" s="678"/>
      <c r="U77" s="678">
        <v>497220</v>
      </c>
      <c r="V77" s="678"/>
      <c r="W77" s="677">
        <f t="shared" si="12"/>
        <v>497220</v>
      </c>
    </row>
    <row r="78" spans="1:23" ht="14.25">
      <c r="A78" s="22">
        <v>7</v>
      </c>
      <c r="B78" s="201">
        <v>18</v>
      </c>
      <c r="C78" s="204">
        <v>12</v>
      </c>
      <c r="D78" s="720">
        <v>5.1831959999999997</v>
      </c>
      <c r="E78" s="204">
        <v>6</v>
      </c>
      <c r="F78" s="721">
        <v>1.4891760000000001</v>
      </c>
      <c r="G78" s="201">
        <v>18</v>
      </c>
      <c r="H78" s="204">
        <v>12</v>
      </c>
      <c r="I78" s="682">
        <f t="shared" si="15"/>
        <v>5.8196760000000003</v>
      </c>
      <c r="J78" s="216">
        <f t="shared" si="16"/>
        <v>6</v>
      </c>
      <c r="K78" s="683">
        <f t="shared" si="13"/>
        <v>16.25544</v>
      </c>
      <c r="L78" s="201">
        <v>18</v>
      </c>
      <c r="M78" s="204">
        <v>12</v>
      </c>
      <c r="N78" s="682">
        <f t="shared" si="14"/>
        <v>5.9454719999999996</v>
      </c>
      <c r="O78" s="216">
        <f t="shared" ref="O78" si="20">SUM(L78-M78)</f>
        <v>6</v>
      </c>
      <c r="P78" s="719">
        <f t="shared" si="18"/>
        <v>16.25544</v>
      </c>
      <c r="Q78" s="7"/>
      <c r="R78" s="678">
        <v>7445220</v>
      </c>
      <c r="S78" s="678">
        <v>5819676</v>
      </c>
      <c r="T78" s="678"/>
      <c r="U78" s="678">
        <v>5945472</v>
      </c>
      <c r="V78" s="678"/>
      <c r="W78" s="677">
        <f t="shared" si="12"/>
        <v>5945472</v>
      </c>
    </row>
    <row r="79" spans="1:23" ht="14.25">
      <c r="A79" s="22">
        <v>6</v>
      </c>
      <c r="B79" s="201">
        <v>4</v>
      </c>
      <c r="C79" s="204">
        <v>4</v>
      </c>
      <c r="D79" s="720">
        <v>1.625316</v>
      </c>
      <c r="E79" s="204"/>
      <c r="F79" s="721"/>
      <c r="G79" s="201">
        <v>3</v>
      </c>
      <c r="H79" s="204">
        <v>3</v>
      </c>
      <c r="I79" s="682">
        <f t="shared" si="15"/>
        <v>1.381788</v>
      </c>
      <c r="J79" s="216"/>
      <c r="K79" s="683">
        <f t="shared" si="13"/>
        <v>0</v>
      </c>
      <c r="L79" s="201">
        <v>3</v>
      </c>
      <c r="M79" s="204">
        <v>3</v>
      </c>
      <c r="N79" s="682">
        <f t="shared" si="14"/>
        <v>1.413036</v>
      </c>
      <c r="O79" s="216"/>
      <c r="P79" s="719">
        <f t="shared" si="18"/>
        <v>0</v>
      </c>
      <c r="Q79" s="7"/>
      <c r="R79" s="678">
        <v>1381788</v>
      </c>
      <c r="S79" s="678">
        <f>+R79</f>
        <v>1381788</v>
      </c>
      <c r="T79" s="678"/>
      <c r="U79" s="678">
        <v>1413036</v>
      </c>
      <c r="V79" s="678"/>
      <c r="W79" s="677">
        <f t="shared" si="12"/>
        <v>1413036</v>
      </c>
    </row>
    <row r="80" spans="1:23" ht="14.25">
      <c r="A80" s="22">
        <v>5</v>
      </c>
      <c r="B80" s="201">
        <v>12</v>
      </c>
      <c r="C80" s="204">
        <v>3</v>
      </c>
      <c r="D80" s="720">
        <v>1.1260079999999999</v>
      </c>
      <c r="E80" s="204">
        <v>9</v>
      </c>
      <c r="F80" s="721">
        <v>2.0974680000000001</v>
      </c>
      <c r="G80" s="201">
        <v>13</v>
      </c>
      <c r="H80" s="204">
        <v>4</v>
      </c>
      <c r="I80" s="682">
        <f t="shared" si="15"/>
        <v>1.5276719999999999</v>
      </c>
      <c r="J80" s="216"/>
      <c r="K80" s="683">
        <f t="shared" si="13"/>
        <v>22.894919999999999</v>
      </c>
      <c r="L80" s="201">
        <v>13</v>
      </c>
      <c r="M80" s="204">
        <v>4</v>
      </c>
      <c r="N80" s="682">
        <f t="shared" si="14"/>
        <v>1.564872</v>
      </c>
      <c r="O80" s="216"/>
      <c r="P80" s="719">
        <f t="shared" si="18"/>
        <v>22.894919999999999</v>
      </c>
      <c r="Q80" s="7"/>
      <c r="R80" s="678">
        <v>3817164</v>
      </c>
      <c r="S80" s="678">
        <v>1527672</v>
      </c>
      <c r="T80" s="678"/>
      <c r="U80" s="678">
        <v>1564872</v>
      </c>
      <c r="V80" s="678"/>
      <c r="W80" s="677">
        <f t="shared" si="12"/>
        <v>1564872</v>
      </c>
    </row>
    <row r="81" spans="1:23" ht="14.25">
      <c r="A81" s="22">
        <v>4</v>
      </c>
      <c r="B81" s="201">
        <v>22</v>
      </c>
      <c r="C81" s="204">
        <v>22</v>
      </c>
      <c r="D81" s="720">
        <v>6.5087400000000004</v>
      </c>
      <c r="E81" s="204"/>
      <c r="F81" s="721"/>
      <c r="G81" s="201">
        <v>25</v>
      </c>
      <c r="H81" s="204">
        <v>21</v>
      </c>
      <c r="I81" s="682">
        <f t="shared" si="15"/>
        <v>6.7376760000000004</v>
      </c>
      <c r="J81" s="216"/>
      <c r="K81" s="683">
        <f t="shared" si="13"/>
        <v>0</v>
      </c>
      <c r="L81" s="201">
        <v>25</v>
      </c>
      <c r="M81" s="204">
        <v>21</v>
      </c>
      <c r="N81" s="682">
        <f t="shared" si="14"/>
        <v>6.9095399999999998</v>
      </c>
      <c r="O81" s="216"/>
      <c r="P81" s="719">
        <f t="shared" si="18"/>
        <v>0</v>
      </c>
      <c r="Q81" s="7"/>
      <c r="R81" s="678">
        <v>6737676</v>
      </c>
      <c r="S81" s="678">
        <f>+R81</f>
        <v>6737676</v>
      </c>
      <c r="T81" s="678"/>
      <c r="U81" s="678">
        <v>6909540</v>
      </c>
      <c r="V81" s="678"/>
      <c r="W81" s="677">
        <f t="shared" si="12"/>
        <v>6909540</v>
      </c>
    </row>
    <row r="82" spans="1:23" ht="14.25">
      <c r="A82" s="22">
        <v>3</v>
      </c>
      <c r="B82" s="201">
        <v>1</v>
      </c>
      <c r="C82" s="204"/>
      <c r="D82" s="720"/>
      <c r="E82" s="204">
        <v>1</v>
      </c>
      <c r="F82" s="721">
        <v>0.25964399999999999</v>
      </c>
      <c r="G82" s="201">
        <v>1</v>
      </c>
      <c r="H82" s="204"/>
      <c r="I82" s="682"/>
      <c r="J82" s="216"/>
      <c r="K82" s="683">
        <f t="shared" si="13"/>
        <v>2.1754799999999999</v>
      </c>
      <c r="L82" s="201">
        <v>1</v>
      </c>
      <c r="M82" s="204"/>
      <c r="N82" s="682">
        <f t="shared" si="14"/>
        <v>0</v>
      </c>
      <c r="O82" s="216"/>
      <c r="P82" s="719">
        <f t="shared" si="18"/>
        <v>2.1754799999999999</v>
      </c>
      <c r="Q82" s="7"/>
      <c r="R82" s="678">
        <v>217548</v>
      </c>
      <c r="S82" s="678"/>
      <c r="T82" s="678"/>
      <c r="U82" s="678"/>
      <c r="V82" s="678"/>
      <c r="W82" s="677">
        <f t="shared" si="12"/>
        <v>0</v>
      </c>
    </row>
    <row r="83" spans="1:23" ht="14.25">
      <c r="A83" s="22">
        <v>2</v>
      </c>
      <c r="B83" s="201">
        <v>3</v>
      </c>
      <c r="C83" s="204"/>
      <c r="D83" s="720"/>
      <c r="E83" s="204">
        <v>3</v>
      </c>
      <c r="F83" s="721">
        <v>0.66979200000000005</v>
      </c>
      <c r="G83" s="201">
        <v>4</v>
      </c>
      <c r="H83" s="204"/>
      <c r="I83" s="682"/>
      <c r="J83" s="216"/>
      <c r="K83" s="683">
        <f t="shared" si="13"/>
        <v>8.8900799999999993</v>
      </c>
      <c r="L83" s="201">
        <v>4</v>
      </c>
      <c r="M83" s="204"/>
      <c r="N83" s="682">
        <f t="shared" si="14"/>
        <v>0</v>
      </c>
      <c r="O83" s="216"/>
      <c r="P83" s="719">
        <f t="shared" si="18"/>
        <v>8.8900799999999993</v>
      </c>
      <c r="Q83" s="7"/>
      <c r="R83" s="678">
        <v>889008</v>
      </c>
      <c r="S83" s="678"/>
      <c r="T83" s="678"/>
      <c r="U83" s="678"/>
      <c r="V83" s="678"/>
      <c r="W83" s="677">
        <f t="shared" si="12"/>
        <v>0</v>
      </c>
    </row>
    <row r="84" spans="1:23">
      <c r="A84" s="22">
        <v>1</v>
      </c>
      <c r="B84" s="201"/>
      <c r="C84" s="204"/>
      <c r="D84" s="720"/>
      <c r="E84" s="204"/>
      <c r="F84" s="721"/>
      <c r="G84" s="722"/>
      <c r="H84" s="204"/>
      <c r="I84" s="723"/>
      <c r="J84" s="216"/>
      <c r="K84" s="721"/>
      <c r="L84" s="201"/>
      <c r="M84" s="204"/>
      <c r="N84" s="720"/>
      <c r="O84" s="216"/>
      <c r="P84" s="721"/>
      <c r="Q84" s="7"/>
      <c r="R84" s="678"/>
      <c r="S84" s="678"/>
      <c r="T84" s="678"/>
      <c r="U84" s="678"/>
      <c r="V84" s="678"/>
      <c r="W84" s="677">
        <f t="shared" si="12"/>
        <v>0</v>
      </c>
    </row>
    <row r="85" spans="1:23">
      <c r="A85" s="339" t="s">
        <v>138</v>
      </c>
      <c r="B85" s="340">
        <f t="shared" ref="B85:P85" si="21">SUM(B63:B84)</f>
        <v>133</v>
      </c>
      <c r="C85" s="340">
        <f t="shared" si="21"/>
        <v>99</v>
      </c>
      <c r="D85" s="341">
        <f t="shared" si="21"/>
        <v>57.628559999999993</v>
      </c>
      <c r="E85" s="340">
        <f t="shared" si="21"/>
        <v>34</v>
      </c>
      <c r="F85" s="341">
        <f t="shared" si="21"/>
        <v>11.565096</v>
      </c>
      <c r="G85" s="340">
        <f t="shared" si="21"/>
        <v>135</v>
      </c>
      <c r="H85" s="340">
        <f t="shared" si="21"/>
        <v>95</v>
      </c>
      <c r="I85" s="341">
        <f t="shared" si="21"/>
        <v>58.873956000000007</v>
      </c>
      <c r="J85" s="340">
        <f t="shared" si="21"/>
        <v>19</v>
      </c>
      <c r="K85" s="341">
        <f t="shared" si="21"/>
        <v>129.19811999999999</v>
      </c>
      <c r="L85" s="340">
        <f t="shared" si="21"/>
        <v>135</v>
      </c>
      <c r="M85" s="340">
        <f t="shared" si="21"/>
        <v>95</v>
      </c>
      <c r="N85" s="341">
        <f t="shared" si="21"/>
        <v>60.426551999999994</v>
      </c>
      <c r="O85" s="340">
        <f t="shared" si="21"/>
        <v>19</v>
      </c>
      <c r="P85" s="712">
        <f t="shared" si="21"/>
        <v>129.19811999999999</v>
      </c>
    </row>
    <row r="86" spans="1:23" ht="18">
      <c r="A86" s="1429" t="s">
        <v>1316</v>
      </c>
      <c r="B86" s="1429"/>
      <c r="C86" s="1429"/>
      <c r="D86" s="1429"/>
      <c r="E86" s="1429"/>
      <c r="F86" s="1429"/>
      <c r="G86" s="1429"/>
      <c r="H86" s="1429"/>
      <c r="I86" s="1429"/>
      <c r="J86" s="1429"/>
      <c r="K86" s="1429"/>
      <c r="L86" s="1429"/>
      <c r="M86" s="1429"/>
      <c r="N86" s="1429"/>
      <c r="O86" s="1429"/>
      <c r="P86" s="1429"/>
      <c r="Q86" s="7"/>
      <c r="R86" s="678"/>
      <c r="S86" s="678"/>
      <c r="T86" s="678"/>
      <c r="U86" s="678"/>
      <c r="V86" s="678"/>
      <c r="W86" s="7"/>
    </row>
    <row r="87" spans="1:23">
      <c r="A87" s="1434" t="s">
        <v>873</v>
      </c>
      <c r="B87" s="1437" t="str">
        <f>+$B$6</f>
        <v>Status during last FY 2017-18</v>
      </c>
      <c r="C87" s="1438"/>
      <c r="D87" s="1438"/>
      <c r="E87" s="1438"/>
      <c r="F87" s="1439"/>
      <c r="G87" s="1437" t="str">
        <f>+$G$6</f>
        <v>Status during current FY 2018-19</v>
      </c>
      <c r="H87" s="1438"/>
      <c r="I87" s="1438"/>
      <c r="J87" s="1438"/>
      <c r="K87" s="1439"/>
      <c r="L87" s="1437" t="str">
        <f>+$L$6</f>
        <v>Planned for next FY 2019-20</v>
      </c>
      <c r="M87" s="1438"/>
      <c r="N87" s="1438"/>
      <c r="O87" s="1438"/>
      <c r="P87" s="1439"/>
      <c r="Q87" s="7"/>
      <c r="R87" s="678"/>
      <c r="S87" s="678"/>
      <c r="T87" s="678"/>
      <c r="U87" s="678"/>
      <c r="V87" s="678"/>
      <c r="W87" s="7"/>
    </row>
    <row r="88" spans="1:23">
      <c r="A88" s="1435"/>
      <c r="B88" s="1431" t="s">
        <v>872</v>
      </c>
      <c r="C88" s="1411" t="s">
        <v>134</v>
      </c>
      <c r="D88" s="1411"/>
      <c r="E88" s="1412" t="s">
        <v>135</v>
      </c>
      <c r="F88" s="1413"/>
      <c r="G88" s="1431" t="s">
        <v>869</v>
      </c>
      <c r="H88" s="1411" t="s">
        <v>134</v>
      </c>
      <c r="I88" s="1411"/>
      <c r="J88" s="1412" t="s">
        <v>135</v>
      </c>
      <c r="K88" s="1413"/>
      <c r="L88" s="1431" t="s">
        <v>869</v>
      </c>
      <c r="M88" s="1411" t="s">
        <v>134</v>
      </c>
      <c r="N88" s="1411"/>
      <c r="O88" s="1412" t="s">
        <v>135</v>
      </c>
      <c r="P88" s="1413"/>
      <c r="Q88" s="7"/>
      <c r="R88" s="1433" t="s">
        <v>1310</v>
      </c>
      <c r="S88" s="1433"/>
      <c r="T88" s="1433"/>
      <c r="U88" s="1430" t="s">
        <v>1311</v>
      </c>
      <c r="V88" s="1430"/>
      <c r="W88" s="1430"/>
    </row>
    <row r="89" spans="1:23" ht="42.75">
      <c r="A89" s="1436"/>
      <c r="B89" s="1432"/>
      <c r="C89" s="199" t="s">
        <v>153</v>
      </c>
      <c r="D89" s="665" t="s">
        <v>868</v>
      </c>
      <c r="E89" s="199" t="s">
        <v>153</v>
      </c>
      <c r="F89" s="666" t="s">
        <v>868</v>
      </c>
      <c r="G89" s="1432"/>
      <c r="H89" s="199" t="s">
        <v>153</v>
      </c>
      <c r="I89" s="665" t="s">
        <v>868</v>
      </c>
      <c r="J89" s="199" t="s">
        <v>153</v>
      </c>
      <c r="K89" s="666" t="s">
        <v>868</v>
      </c>
      <c r="L89" s="1432"/>
      <c r="M89" s="199" t="s">
        <v>153</v>
      </c>
      <c r="N89" s="665" t="s">
        <v>868</v>
      </c>
      <c r="O89" s="199" t="s">
        <v>153</v>
      </c>
      <c r="P89" s="666" t="s">
        <v>868</v>
      </c>
      <c r="Q89" s="7"/>
      <c r="R89" s="714" t="s">
        <v>1313</v>
      </c>
      <c r="S89" s="715" t="s">
        <v>1314</v>
      </c>
      <c r="T89" s="714"/>
      <c r="U89" s="714" t="s">
        <v>1313</v>
      </c>
      <c r="V89" s="715" t="s">
        <v>1314</v>
      </c>
      <c r="W89" s="309"/>
    </row>
    <row r="90" spans="1:23" ht="14.25">
      <c r="A90" s="708">
        <v>22</v>
      </c>
      <c r="B90" s="716"/>
      <c r="C90" s="717"/>
      <c r="D90" s="213"/>
      <c r="E90" s="717"/>
      <c r="F90" s="214"/>
      <c r="G90" s="716"/>
      <c r="H90" s="717"/>
      <c r="I90" s="675"/>
      <c r="J90" s="717"/>
      <c r="K90" s="674"/>
      <c r="L90" s="716"/>
      <c r="M90" s="717"/>
      <c r="N90" s="213"/>
      <c r="O90" s="717"/>
      <c r="P90" s="718"/>
      <c r="Q90" s="7"/>
      <c r="R90" s="678"/>
      <c r="S90" s="678"/>
      <c r="T90" s="678"/>
      <c r="U90" s="678"/>
      <c r="V90" s="678"/>
      <c r="W90" s="677">
        <f t="shared" ref="W90:W111" si="22">SUM(U90-V90)</f>
        <v>0</v>
      </c>
    </row>
    <row r="91" spans="1:23" ht="14.25">
      <c r="A91" s="14">
        <v>21</v>
      </c>
      <c r="B91" s="215"/>
      <c r="C91" s="216"/>
      <c r="D91" s="217"/>
      <c r="E91" s="216"/>
      <c r="F91" s="218"/>
      <c r="G91" s="215"/>
      <c r="H91" s="216"/>
      <c r="I91" s="682"/>
      <c r="J91" s="216"/>
      <c r="K91" s="683"/>
      <c r="L91" s="215"/>
      <c r="M91" s="216"/>
      <c r="N91" s="217"/>
      <c r="O91" s="216"/>
      <c r="P91" s="719"/>
      <c r="Q91" s="7"/>
      <c r="R91" s="678"/>
      <c r="S91" s="678"/>
      <c r="T91" s="678"/>
      <c r="U91" s="678"/>
      <c r="V91" s="678"/>
      <c r="W91" s="677">
        <f t="shared" si="22"/>
        <v>0</v>
      </c>
    </row>
    <row r="92" spans="1:23" ht="14.25">
      <c r="A92" s="14">
        <v>20</v>
      </c>
      <c r="B92" s="215"/>
      <c r="C92" s="216"/>
      <c r="D92" s="217"/>
      <c r="E92" s="216"/>
      <c r="F92" s="218"/>
      <c r="G92" s="215"/>
      <c r="H92" s="216"/>
      <c r="I92" s="682"/>
      <c r="J92" s="216"/>
      <c r="K92" s="683"/>
      <c r="L92" s="215"/>
      <c r="M92" s="216"/>
      <c r="N92" s="217"/>
      <c r="O92" s="216"/>
      <c r="P92" s="719"/>
      <c r="Q92" s="7"/>
      <c r="R92" s="678"/>
      <c r="S92" s="678"/>
      <c r="T92" s="678"/>
      <c r="U92" s="678"/>
      <c r="V92" s="678"/>
      <c r="W92" s="677">
        <f t="shared" si="22"/>
        <v>0</v>
      </c>
    </row>
    <row r="93" spans="1:23" ht="14.25">
      <c r="A93" s="710">
        <v>19</v>
      </c>
      <c r="B93" s="215">
        <v>2</v>
      </c>
      <c r="C93" s="216">
        <v>2</v>
      </c>
      <c r="D93" s="217">
        <v>2.5971839999999999</v>
      </c>
      <c r="E93" s="216"/>
      <c r="F93" s="218"/>
      <c r="G93" s="216">
        <v>2</v>
      </c>
      <c r="H93" s="216">
        <v>2</v>
      </c>
      <c r="I93" s="682"/>
      <c r="J93" s="216"/>
      <c r="K93" s="683">
        <f t="shared" ref="K93:K108" si="23">SUM(R93-S93)/100000</f>
        <v>0</v>
      </c>
      <c r="L93" s="216">
        <v>2</v>
      </c>
      <c r="M93" s="216">
        <v>2</v>
      </c>
      <c r="N93" s="682">
        <f t="shared" ref="N93:N108" si="24">SUM(U93/1000000)</f>
        <v>2.870676</v>
      </c>
      <c r="O93" s="216"/>
      <c r="P93" s="719">
        <f>+K93</f>
        <v>0</v>
      </c>
      <c r="Q93" s="7"/>
      <c r="R93" s="678">
        <v>2782836</v>
      </c>
      <c r="S93" s="678">
        <f>+R93</f>
        <v>2782836</v>
      </c>
      <c r="T93" s="678"/>
      <c r="U93" s="678">
        <v>2870676</v>
      </c>
      <c r="V93" s="678"/>
      <c r="W93" s="677">
        <f t="shared" si="22"/>
        <v>2870676</v>
      </c>
    </row>
    <row r="94" spans="1:23" ht="14.25">
      <c r="A94" s="14">
        <v>18</v>
      </c>
      <c r="B94" s="215"/>
      <c r="C94" s="216"/>
      <c r="D94" s="217"/>
      <c r="E94" s="216"/>
      <c r="F94" s="218"/>
      <c r="G94" s="216"/>
      <c r="H94" s="216"/>
      <c r="I94" s="682">
        <f>SUM(S94/1000000)</f>
        <v>0</v>
      </c>
      <c r="J94" s="216"/>
      <c r="K94" s="683">
        <f t="shared" si="23"/>
        <v>0</v>
      </c>
      <c r="L94" s="216"/>
      <c r="M94" s="216"/>
      <c r="N94" s="682">
        <f t="shared" si="24"/>
        <v>0</v>
      </c>
      <c r="O94" s="216"/>
      <c r="P94" s="719">
        <f>+K94</f>
        <v>0</v>
      </c>
      <c r="Q94" s="7"/>
      <c r="R94" s="678"/>
      <c r="S94" s="678"/>
      <c r="T94" s="678"/>
      <c r="U94" s="678"/>
      <c r="V94" s="678"/>
      <c r="W94" s="677">
        <f t="shared" si="22"/>
        <v>0</v>
      </c>
    </row>
    <row r="95" spans="1:23" ht="14.25">
      <c r="A95" s="14">
        <v>17</v>
      </c>
      <c r="B95" s="215">
        <v>2</v>
      </c>
      <c r="C95" s="216">
        <v>2</v>
      </c>
      <c r="D95" s="217">
        <v>1.927716</v>
      </c>
      <c r="E95" s="216"/>
      <c r="F95" s="218"/>
      <c r="G95" s="216">
        <v>3</v>
      </c>
      <c r="H95" s="216">
        <v>3</v>
      </c>
      <c r="I95" s="682">
        <f t="shared" ref="I95:I98" si="25">SUM(S95/1000000)</f>
        <v>3.388344</v>
      </c>
      <c r="J95" s="216"/>
      <c r="K95" s="683">
        <f t="shared" si="23"/>
        <v>0</v>
      </c>
      <c r="L95" s="216">
        <v>3</v>
      </c>
      <c r="M95" s="216">
        <v>3</v>
      </c>
      <c r="N95" s="682">
        <f t="shared" si="24"/>
        <v>3.4877039999999999</v>
      </c>
      <c r="O95" s="216"/>
      <c r="P95" s="719">
        <f>+K95</f>
        <v>0</v>
      </c>
      <c r="Q95" s="7"/>
      <c r="R95" s="678">
        <v>3388344</v>
      </c>
      <c r="S95" s="678">
        <f>+R95</f>
        <v>3388344</v>
      </c>
      <c r="T95" s="678"/>
      <c r="U95" s="678">
        <v>3487704</v>
      </c>
      <c r="V95" s="678"/>
      <c r="W95" s="677">
        <f t="shared" si="22"/>
        <v>3487704</v>
      </c>
    </row>
    <row r="96" spans="1:23" ht="14.25">
      <c r="A96" s="14">
        <v>16</v>
      </c>
      <c r="B96" s="200">
        <v>16</v>
      </c>
      <c r="C96" s="204">
        <v>9</v>
      </c>
      <c r="D96" s="720">
        <v>7.5354840000000003</v>
      </c>
      <c r="E96" s="204">
        <v>7</v>
      </c>
      <c r="F96" s="721">
        <v>3.2751960000000002</v>
      </c>
      <c r="G96" s="204">
        <v>17</v>
      </c>
      <c r="H96" s="204">
        <v>10</v>
      </c>
      <c r="I96" s="682">
        <f t="shared" si="25"/>
        <v>8.9322839999999992</v>
      </c>
      <c r="J96" s="216">
        <f t="shared" ref="J96:J101" si="26">SUM(G96-H96)</f>
        <v>7</v>
      </c>
      <c r="K96" s="683">
        <f t="shared" si="23"/>
        <v>33.738239999999998</v>
      </c>
      <c r="L96" s="204">
        <v>17</v>
      </c>
      <c r="M96" s="204">
        <v>10</v>
      </c>
      <c r="N96" s="682">
        <f t="shared" si="24"/>
        <v>9.1511639999999996</v>
      </c>
      <c r="O96" s="216">
        <f t="shared" ref="O96" si="27">SUM(L96-M96)</f>
        <v>7</v>
      </c>
      <c r="P96" s="719">
        <f t="shared" ref="P96:P110" si="28">+K96</f>
        <v>33.738239999999998</v>
      </c>
      <c r="Q96" s="7"/>
      <c r="R96" s="678">
        <v>12306108</v>
      </c>
      <c r="S96" s="678">
        <v>8932284</v>
      </c>
      <c r="T96" s="678"/>
      <c r="U96" s="678">
        <v>9151164</v>
      </c>
      <c r="V96" s="678"/>
      <c r="W96" s="677">
        <f t="shared" si="22"/>
        <v>9151164</v>
      </c>
    </row>
    <row r="97" spans="1:23" ht="14.25">
      <c r="A97" s="14">
        <v>15</v>
      </c>
      <c r="B97" s="200"/>
      <c r="C97" s="204"/>
      <c r="D97" s="720">
        <v>0</v>
      </c>
      <c r="E97" s="204"/>
      <c r="F97" s="721"/>
      <c r="G97" s="204"/>
      <c r="H97" s="204"/>
      <c r="I97" s="682">
        <f t="shared" si="25"/>
        <v>0</v>
      </c>
      <c r="J97" s="216"/>
      <c r="K97" s="683">
        <f t="shared" si="23"/>
        <v>0</v>
      </c>
      <c r="L97" s="204"/>
      <c r="M97" s="204"/>
      <c r="N97" s="682">
        <f t="shared" si="24"/>
        <v>0</v>
      </c>
      <c r="O97" s="216"/>
      <c r="P97" s="719">
        <f t="shared" si="28"/>
        <v>0</v>
      </c>
      <c r="Q97" s="7"/>
      <c r="R97" s="678"/>
      <c r="S97" s="678"/>
      <c r="T97" s="678"/>
      <c r="U97" s="678"/>
      <c r="V97" s="678"/>
      <c r="W97" s="677">
        <f t="shared" si="22"/>
        <v>0</v>
      </c>
    </row>
    <row r="98" spans="1:23" ht="14.25">
      <c r="A98" s="22">
        <v>14</v>
      </c>
      <c r="B98" s="201">
        <v>7</v>
      </c>
      <c r="C98" s="204">
        <v>7</v>
      </c>
      <c r="D98" s="720">
        <v>4.3058519999999998</v>
      </c>
      <c r="E98" s="204"/>
      <c r="F98" s="721"/>
      <c r="G98" s="204">
        <v>5</v>
      </c>
      <c r="H98" s="204">
        <v>5</v>
      </c>
      <c r="I98" s="682">
        <f t="shared" si="25"/>
        <v>3.1815120000000001</v>
      </c>
      <c r="J98" s="216"/>
      <c r="K98" s="683">
        <f t="shared" si="23"/>
        <v>0</v>
      </c>
      <c r="L98" s="204">
        <v>5</v>
      </c>
      <c r="M98" s="204">
        <v>5</v>
      </c>
      <c r="N98" s="682">
        <f t="shared" si="24"/>
        <v>3.2706599999999999</v>
      </c>
      <c r="O98" s="216"/>
      <c r="P98" s="719">
        <f t="shared" si="28"/>
        <v>0</v>
      </c>
      <c r="Q98" s="7"/>
      <c r="R98" s="678">
        <v>3181512</v>
      </c>
      <c r="S98" s="678">
        <v>3181512</v>
      </c>
      <c r="T98" s="678"/>
      <c r="U98" s="678">
        <v>3270660</v>
      </c>
      <c r="V98" s="678"/>
      <c r="W98" s="677">
        <f t="shared" si="22"/>
        <v>3270660</v>
      </c>
    </row>
    <row r="99" spans="1:23" ht="14.25">
      <c r="A99" s="22">
        <v>13</v>
      </c>
      <c r="B99" s="201"/>
      <c r="C99" s="204"/>
      <c r="D99" s="720"/>
      <c r="E99" s="204"/>
      <c r="F99" s="721"/>
      <c r="G99" s="204"/>
      <c r="H99" s="204"/>
      <c r="I99" s="682"/>
      <c r="J99" s="216"/>
      <c r="K99" s="683">
        <f t="shared" si="23"/>
        <v>0</v>
      </c>
      <c r="L99" s="204"/>
      <c r="M99" s="204"/>
      <c r="N99" s="682">
        <f t="shared" si="24"/>
        <v>0</v>
      </c>
      <c r="O99" s="216"/>
      <c r="P99" s="719">
        <f t="shared" si="28"/>
        <v>0</v>
      </c>
      <c r="Q99" s="7"/>
      <c r="R99" s="678"/>
      <c r="S99" s="678"/>
      <c r="T99" s="678"/>
      <c r="U99" s="678"/>
      <c r="V99" s="678"/>
      <c r="W99" s="677">
        <f t="shared" si="22"/>
        <v>0</v>
      </c>
    </row>
    <row r="100" spans="1:23" ht="14.25">
      <c r="A100" s="22">
        <v>12</v>
      </c>
      <c r="B100" s="201">
        <v>1</v>
      </c>
      <c r="C100" s="204">
        <v>1</v>
      </c>
      <c r="D100" s="720">
        <v>0.58145999999999998</v>
      </c>
      <c r="E100" s="204"/>
      <c r="F100" s="721"/>
      <c r="G100" s="204"/>
      <c r="H100" s="204"/>
      <c r="I100" s="682">
        <f t="shared" ref="I100:I101" si="29">SUM(S100/1000000)</f>
        <v>0</v>
      </c>
      <c r="J100" s="216"/>
      <c r="K100" s="683">
        <f t="shared" si="23"/>
        <v>0</v>
      </c>
      <c r="L100" s="204"/>
      <c r="M100" s="204"/>
      <c r="N100" s="682">
        <f t="shared" si="24"/>
        <v>0</v>
      </c>
      <c r="O100" s="216"/>
      <c r="P100" s="719">
        <f t="shared" si="28"/>
        <v>0</v>
      </c>
      <c r="Q100" s="7"/>
      <c r="R100" s="678"/>
      <c r="S100" s="678"/>
      <c r="T100" s="678"/>
      <c r="U100" s="678"/>
      <c r="V100" s="678"/>
      <c r="W100" s="677">
        <f t="shared" si="22"/>
        <v>0</v>
      </c>
    </row>
    <row r="101" spans="1:23" ht="14.25">
      <c r="A101" s="22">
        <v>11</v>
      </c>
      <c r="B101" s="201">
        <v>4</v>
      </c>
      <c r="C101" s="204">
        <v>1</v>
      </c>
      <c r="D101" s="720">
        <v>0.53932800000000003</v>
      </c>
      <c r="E101" s="204">
        <v>3</v>
      </c>
      <c r="F101" s="721">
        <v>0.87929999999999997</v>
      </c>
      <c r="G101" s="204">
        <v>4</v>
      </c>
      <c r="H101" s="204">
        <v>1</v>
      </c>
      <c r="I101" s="682">
        <f t="shared" si="29"/>
        <v>0.58242000000000005</v>
      </c>
      <c r="J101" s="216">
        <f t="shared" si="26"/>
        <v>3</v>
      </c>
      <c r="K101" s="683">
        <f t="shared" si="23"/>
        <v>9.5788799999999998</v>
      </c>
      <c r="L101" s="204">
        <v>4</v>
      </c>
      <c r="M101" s="204">
        <v>1</v>
      </c>
      <c r="N101" s="682">
        <f t="shared" si="24"/>
        <v>0.59509199999999995</v>
      </c>
      <c r="O101" s="216">
        <f t="shared" ref="O101" si="30">SUM(L101-M101)</f>
        <v>3</v>
      </c>
      <c r="P101" s="719">
        <f t="shared" si="28"/>
        <v>9.5788799999999998</v>
      </c>
      <c r="Q101" s="7"/>
      <c r="R101" s="678">
        <v>1540308</v>
      </c>
      <c r="S101" s="678">
        <v>582420</v>
      </c>
      <c r="T101" s="678"/>
      <c r="U101" s="678">
        <v>595092</v>
      </c>
      <c r="V101" s="678"/>
      <c r="W101" s="677">
        <f t="shared" si="22"/>
        <v>595092</v>
      </c>
    </row>
    <row r="102" spans="1:23" ht="14.25">
      <c r="A102" s="22">
        <v>10</v>
      </c>
      <c r="B102" s="201"/>
      <c r="C102" s="204"/>
      <c r="D102" s="720"/>
      <c r="E102" s="204"/>
      <c r="F102" s="721"/>
      <c r="G102" s="204"/>
      <c r="H102" s="204"/>
      <c r="I102" s="682"/>
      <c r="J102" s="216"/>
      <c r="K102" s="683">
        <f t="shared" si="23"/>
        <v>0</v>
      </c>
      <c r="L102" s="204"/>
      <c r="M102" s="204"/>
      <c r="N102" s="682">
        <f t="shared" si="24"/>
        <v>0</v>
      </c>
      <c r="O102" s="216"/>
      <c r="P102" s="719">
        <f t="shared" si="28"/>
        <v>0</v>
      </c>
      <c r="Q102" s="7"/>
      <c r="R102" s="678"/>
      <c r="S102" s="678"/>
      <c r="T102" s="678"/>
      <c r="U102" s="678"/>
      <c r="V102" s="678"/>
      <c r="W102" s="677">
        <f t="shared" si="22"/>
        <v>0</v>
      </c>
    </row>
    <row r="103" spans="1:23" ht="14.25">
      <c r="A103" s="22">
        <v>9</v>
      </c>
      <c r="B103" s="201"/>
      <c r="C103" s="204"/>
      <c r="D103" s="720"/>
      <c r="E103" s="204"/>
      <c r="F103" s="721"/>
      <c r="G103" s="204"/>
      <c r="H103" s="204"/>
      <c r="I103" s="682"/>
      <c r="J103" s="216"/>
      <c r="K103" s="683">
        <f t="shared" si="23"/>
        <v>0</v>
      </c>
      <c r="L103" s="204"/>
      <c r="M103" s="204"/>
      <c r="N103" s="682">
        <f t="shared" si="24"/>
        <v>0</v>
      </c>
      <c r="O103" s="216"/>
      <c r="P103" s="719">
        <f t="shared" si="28"/>
        <v>0</v>
      </c>
      <c r="Q103" s="7"/>
      <c r="R103" s="678"/>
      <c r="S103" s="678"/>
      <c r="T103" s="678"/>
      <c r="U103" s="678"/>
      <c r="V103" s="678"/>
      <c r="W103" s="677">
        <f t="shared" si="22"/>
        <v>0</v>
      </c>
    </row>
    <row r="104" spans="1:23" ht="14.25">
      <c r="A104" s="22">
        <v>8</v>
      </c>
      <c r="B104" s="201">
        <v>1</v>
      </c>
      <c r="C104" s="204">
        <v>1</v>
      </c>
      <c r="D104" s="720">
        <v>0.41206799999999999</v>
      </c>
      <c r="E104" s="204"/>
      <c r="F104" s="721"/>
      <c r="G104" s="204">
        <v>1</v>
      </c>
      <c r="H104" s="204">
        <v>1</v>
      </c>
      <c r="I104" s="682">
        <f t="shared" ref="I104:I108" si="31">SUM(S104/1000000)</f>
        <v>0.444552</v>
      </c>
      <c r="J104" s="216"/>
      <c r="K104" s="683">
        <f t="shared" si="23"/>
        <v>0</v>
      </c>
      <c r="L104" s="204">
        <v>1</v>
      </c>
      <c r="M104" s="204">
        <v>1</v>
      </c>
      <c r="N104" s="682">
        <f t="shared" si="24"/>
        <v>0.45700800000000003</v>
      </c>
      <c r="O104" s="216"/>
      <c r="P104" s="719">
        <f t="shared" si="28"/>
        <v>0</v>
      </c>
      <c r="Q104" s="7"/>
      <c r="R104" s="678">
        <v>444552</v>
      </c>
      <c r="S104" s="678">
        <f>+R104</f>
        <v>444552</v>
      </c>
      <c r="T104" s="678"/>
      <c r="U104" s="678">
        <v>457008</v>
      </c>
      <c r="V104" s="678"/>
      <c r="W104" s="677">
        <f t="shared" si="22"/>
        <v>457008</v>
      </c>
    </row>
    <row r="105" spans="1:23" ht="14.25">
      <c r="A105" s="22">
        <v>7</v>
      </c>
      <c r="B105" s="201">
        <v>8</v>
      </c>
      <c r="C105" s="204">
        <v>8</v>
      </c>
      <c r="D105" s="720">
        <v>3.9699360000000001</v>
      </c>
      <c r="E105" s="204"/>
      <c r="F105" s="721"/>
      <c r="G105" s="204">
        <v>7</v>
      </c>
      <c r="H105" s="204">
        <v>7</v>
      </c>
      <c r="I105" s="682">
        <f t="shared" si="31"/>
        <v>3.7257959999999999</v>
      </c>
      <c r="J105" s="216"/>
      <c r="K105" s="683">
        <f t="shared" si="23"/>
        <v>0</v>
      </c>
      <c r="L105" s="204">
        <v>7</v>
      </c>
      <c r="M105" s="204">
        <v>7</v>
      </c>
      <c r="N105" s="682">
        <f t="shared" si="24"/>
        <v>3.7948439999999999</v>
      </c>
      <c r="O105" s="216"/>
      <c r="P105" s="719">
        <f t="shared" si="28"/>
        <v>0</v>
      </c>
      <c r="Q105" s="7"/>
      <c r="R105" s="678">
        <v>3725796</v>
      </c>
      <c r="S105" s="678">
        <f>+R105</f>
        <v>3725796</v>
      </c>
      <c r="T105" s="678"/>
      <c r="U105" s="678">
        <v>3794844</v>
      </c>
      <c r="V105" s="678"/>
      <c r="W105" s="677">
        <f t="shared" si="22"/>
        <v>3794844</v>
      </c>
    </row>
    <row r="106" spans="1:23" ht="14.25">
      <c r="A106" s="22">
        <v>6</v>
      </c>
      <c r="B106" s="201">
        <v>3</v>
      </c>
      <c r="C106" s="204">
        <v>3</v>
      </c>
      <c r="D106" s="720">
        <v>1.1758439999999999</v>
      </c>
      <c r="E106" s="204"/>
      <c r="F106" s="721"/>
      <c r="G106" s="204">
        <v>2</v>
      </c>
      <c r="H106" s="204">
        <v>2</v>
      </c>
      <c r="I106" s="682">
        <f t="shared" si="31"/>
        <v>0.89595599999999997</v>
      </c>
      <c r="J106" s="216"/>
      <c r="K106" s="683">
        <f t="shared" si="23"/>
        <v>0</v>
      </c>
      <c r="L106" s="204">
        <v>2</v>
      </c>
      <c r="M106" s="204">
        <v>2</v>
      </c>
      <c r="N106" s="682">
        <f t="shared" si="24"/>
        <v>0.91678800000000005</v>
      </c>
      <c r="O106" s="216"/>
      <c r="P106" s="719">
        <f t="shared" si="28"/>
        <v>0</v>
      </c>
      <c r="Q106" s="7"/>
      <c r="R106" s="678">
        <v>895956</v>
      </c>
      <c r="S106" s="678">
        <f>+R106</f>
        <v>895956</v>
      </c>
      <c r="T106" s="678"/>
      <c r="U106" s="678">
        <v>916788</v>
      </c>
      <c r="V106" s="678"/>
      <c r="W106" s="677">
        <f t="shared" si="22"/>
        <v>916788</v>
      </c>
    </row>
    <row r="107" spans="1:23" ht="14.25">
      <c r="A107" s="22">
        <v>5</v>
      </c>
      <c r="B107" s="201">
        <v>3</v>
      </c>
      <c r="C107" s="204">
        <v>3</v>
      </c>
      <c r="D107" s="720">
        <v>1.0773280000000001</v>
      </c>
      <c r="E107" s="204"/>
      <c r="F107" s="721"/>
      <c r="G107" s="204">
        <v>3</v>
      </c>
      <c r="H107" s="204">
        <v>3</v>
      </c>
      <c r="I107" s="682">
        <f t="shared" si="31"/>
        <v>1.167144</v>
      </c>
      <c r="J107" s="216"/>
      <c r="K107" s="683">
        <f t="shared" si="23"/>
        <v>0</v>
      </c>
      <c r="L107" s="204">
        <v>3</v>
      </c>
      <c r="M107" s="204">
        <v>3</v>
      </c>
      <c r="N107" s="682">
        <f t="shared" si="24"/>
        <v>1.195044</v>
      </c>
      <c r="O107" s="216"/>
      <c r="P107" s="719">
        <f t="shared" si="28"/>
        <v>0</v>
      </c>
      <c r="Q107" s="7"/>
      <c r="R107" s="678">
        <v>1167144</v>
      </c>
      <c r="S107" s="678">
        <f>+R107</f>
        <v>1167144</v>
      </c>
      <c r="T107" s="678"/>
      <c r="U107" s="678">
        <v>1195044</v>
      </c>
      <c r="V107" s="678"/>
      <c r="W107" s="677">
        <f t="shared" si="22"/>
        <v>1195044</v>
      </c>
    </row>
    <row r="108" spans="1:23" ht="14.25">
      <c r="A108" s="22">
        <v>4</v>
      </c>
      <c r="B108" s="201">
        <v>4</v>
      </c>
      <c r="C108" s="204">
        <v>4</v>
      </c>
      <c r="D108" s="720">
        <v>1.0998239999999999</v>
      </c>
      <c r="E108" s="204"/>
      <c r="F108" s="721"/>
      <c r="G108" s="204">
        <v>3</v>
      </c>
      <c r="H108" s="204">
        <v>3</v>
      </c>
      <c r="I108" s="682">
        <f t="shared" si="31"/>
        <v>0.90281999999999996</v>
      </c>
      <c r="J108" s="216"/>
      <c r="K108" s="683">
        <f t="shared" si="23"/>
        <v>0</v>
      </c>
      <c r="L108" s="204">
        <v>3</v>
      </c>
      <c r="M108" s="204">
        <v>3</v>
      </c>
      <c r="N108" s="682">
        <f t="shared" si="24"/>
        <v>0.92737199999999997</v>
      </c>
      <c r="O108" s="216"/>
      <c r="P108" s="719">
        <f t="shared" si="28"/>
        <v>0</v>
      </c>
      <c r="Q108" s="7"/>
      <c r="R108" s="678">
        <v>902820</v>
      </c>
      <c r="S108" s="678">
        <f>+R108</f>
        <v>902820</v>
      </c>
      <c r="T108" s="678"/>
      <c r="U108" s="678">
        <v>927372</v>
      </c>
      <c r="V108" s="678"/>
      <c r="W108" s="677">
        <f t="shared" si="22"/>
        <v>927372</v>
      </c>
    </row>
    <row r="109" spans="1:23">
      <c r="A109" s="22">
        <v>3</v>
      </c>
      <c r="B109" s="201"/>
      <c r="C109" s="204"/>
      <c r="D109" s="720"/>
      <c r="E109" s="204"/>
      <c r="F109" s="721"/>
      <c r="G109" s="722"/>
      <c r="H109" s="204"/>
      <c r="I109" s="682"/>
      <c r="J109" s="216"/>
      <c r="K109" s="683">
        <f t="shared" ref="K109:K110" si="32">SUM(R109-S109)/100000</f>
        <v>0</v>
      </c>
      <c r="L109" s="201"/>
      <c r="M109" s="204"/>
      <c r="N109" s="217"/>
      <c r="O109" s="216"/>
      <c r="P109" s="719">
        <f t="shared" si="28"/>
        <v>0</v>
      </c>
      <c r="Q109" s="7"/>
      <c r="R109" s="678"/>
      <c r="S109" s="678"/>
      <c r="T109" s="678"/>
      <c r="U109" s="678"/>
      <c r="V109" s="678"/>
      <c r="W109" s="677">
        <f t="shared" si="22"/>
        <v>0</v>
      </c>
    </row>
    <row r="110" spans="1:23">
      <c r="A110" s="22">
        <v>2</v>
      </c>
      <c r="B110" s="201"/>
      <c r="C110" s="204"/>
      <c r="D110" s="720"/>
      <c r="E110" s="204"/>
      <c r="F110" s="721"/>
      <c r="G110" s="722"/>
      <c r="H110" s="204"/>
      <c r="I110" s="682"/>
      <c r="J110" s="216"/>
      <c r="K110" s="683">
        <f t="shared" si="32"/>
        <v>0</v>
      </c>
      <c r="L110" s="201"/>
      <c r="M110" s="204"/>
      <c r="N110" s="217"/>
      <c r="O110" s="216"/>
      <c r="P110" s="719">
        <f t="shared" si="28"/>
        <v>0</v>
      </c>
      <c r="Q110" s="7"/>
      <c r="R110" s="678"/>
      <c r="S110" s="678"/>
      <c r="T110" s="678"/>
      <c r="U110" s="678"/>
      <c r="V110" s="678"/>
      <c r="W110" s="677">
        <f t="shared" si="22"/>
        <v>0</v>
      </c>
    </row>
    <row r="111" spans="1:23">
      <c r="A111" s="22">
        <v>1</v>
      </c>
      <c r="B111" s="201"/>
      <c r="C111" s="204"/>
      <c r="D111" s="720"/>
      <c r="E111" s="204"/>
      <c r="F111" s="721"/>
      <c r="G111" s="722"/>
      <c r="H111" s="204"/>
      <c r="I111" s="723"/>
      <c r="J111" s="216"/>
      <c r="K111" s="724"/>
      <c r="L111" s="201"/>
      <c r="M111" s="204"/>
      <c r="N111" s="720"/>
      <c r="O111" s="216"/>
      <c r="P111" s="721"/>
      <c r="Q111" s="7"/>
      <c r="R111" s="678"/>
      <c r="S111" s="678"/>
      <c r="T111" s="678"/>
      <c r="U111" s="678"/>
      <c r="V111" s="678"/>
      <c r="W111" s="677">
        <f t="shared" si="22"/>
        <v>0</v>
      </c>
    </row>
    <row r="112" spans="1:23">
      <c r="A112" s="339" t="s">
        <v>138</v>
      </c>
      <c r="B112" s="340">
        <f t="shared" ref="B112:P112" si="33">SUM(B90:B111)</f>
        <v>51</v>
      </c>
      <c r="C112" s="340">
        <f t="shared" si="33"/>
        <v>41</v>
      </c>
      <c r="D112" s="341">
        <f t="shared" si="33"/>
        <v>25.222024000000005</v>
      </c>
      <c r="E112" s="340">
        <f t="shared" si="33"/>
        <v>10</v>
      </c>
      <c r="F112" s="341">
        <f t="shared" si="33"/>
        <v>4.154496</v>
      </c>
      <c r="G112" s="340">
        <f t="shared" si="33"/>
        <v>47</v>
      </c>
      <c r="H112" s="340">
        <f t="shared" si="33"/>
        <v>37</v>
      </c>
      <c r="I112" s="341">
        <f t="shared" si="33"/>
        <v>23.220827999999997</v>
      </c>
      <c r="J112" s="340">
        <f t="shared" si="33"/>
        <v>10</v>
      </c>
      <c r="K112" s="725">
        <f t="shared" si="33"/>
        <v>43.317119999999996</v>
      </c>
      <c r="L112" s="340">
        <f t="shared" si="33"/>
        <v>47</v>
      </c>
      <c r="M112" s="340">
        <f t="shared" si="33"/>
        <v>37</v>
      </c>
      <c r="N112" s="341">
        <f t="shared" si="33"/>
        <v>26.666352</v>
      </c>
      <c r="O112" s="340">
        <f t="shared" si="33"/>
        <v>10</v>
      </c>
      <c r="P112" s="712">
        <f t="shared" si="33"/>
        <v>43.317119999999996</v>
      </c>
    </row>
    <row r="113" spans="1:23" ht="18">
      <c r="A113" s="1429" t="s">
        <v>1292</v>
      </c>
      <c r="B113" s="1429"/>
      <c r="C113" s="1429"/>
      <c r="D113" s="1429"/>
      <c r="E113" s="1429"/>
      <c r="F113" s="1429"/>
      <c r="G113" s="1429"/>
      <c r="H113" s="1429"/>
      <c r="I113" s="1429"/>
      <c r="J113" s="1429"/>
      <c r="K113" s="1429"/>
      <c r="L113" s="1429"/>
      <c r="M113" s="1429"/>
      <c r="N113" s="1429"/>
      <c r="O113" s="1429"/>
      <c r="P113" s="1429"/>
      <c r="Q113" s="7"/>
      <c r="R113" s="678"/>
      <c r="S113" s="678"/>
      <c r="T113" s="678"/>
      <c r="U113" s="678"/>
      <c r="V113" s="678"/>
      <c r="W113" s="7"/>
    </row>
    <row r="114" spans="1:23">
      <c r="A114" s="1434" t="s">
        <v>873</v>
      </c>
      <c r="B114" s="1437" t="str">
        <f>+$B$6</f>
        <v>Status during last FY 2017-18</v>
      </c>
      <c r="C114" s="1438"/>
      <c r="D114" s="1438"/>
      <c r="E114" s="1438"/>
      <c r="F114" s="1439"/>
      <c r="G114" s="1437" t="str">
        <f>+$G$6</f>
        <v>Status during current FY 2018-19</v>
      </c>
      <c r="H114" s="1438"/>
      <c r="I114" s="1438"/>
      <c r="J114" s="1438"/>
      <c r="K114" s="1439"/>
      <c r="L114" s="1437" t="str">
        <f>+$L$6</f>
        <v>Planned for next FY 2019-20</v>
      </c>
      <c r="M114" s="1438"/>
      <c r="N114" s="1438"/>
      <c r="O114" s="1438"/>
      <c r="P114" s="1439"/>
      <c r="Q114" s="7"/>
      <c r="R114" s="678"/>
      <c r="S114" s="678"/>
      <c r="T114" s="678"/>
      <c r="U114" s="678"/>
      <c r="V114" s="678"/>
      <c r="W114" s="7"/>
    </row>
    <row r="115" spans="1:23">
      <c r="A115" s="1435"/>
      <c r="B115" s="1431" t="s">
        <v>872</v>
      </c>
      <c r="C115" s="1411" t="s">
        <v>134</v>
      </c>
      <c r="D115" s="1411"/>
      <c r="E115" s="1412" t="s">
        <v>135</v>
      </c>
      <c r="F115" s="1413"/>
      <c r="G115" s="1431" t="s">
        <v>869</v>
      </c>
      <c r="H115" s="1411" t="s">
        <v>134</v>
      </c>
      <c r="I115" s="1411"/>
      <c r="J115" s="1412" t="s">
        <v>135</v>
      </c>
      <c r="K115" s="1413"/>
      <c r="L115" s="1431" t="s">
        <v>869</v>
      </c>
      <c r="M115" s="1411" t="s">
        <v>134</v>
      </c>
      <c r="N115" s="1411"/>
      <c r="O115" s="1412" t="s">
        <v>135</v>
      </c>
      <c r="P115" s="1413"/>
      <c r="Q115" s="7"/>
      <c r="R115" s="1433" t="s">
        <v>1310</v>
      </c>
      <c r="S115" s="1433"/>
      <c r="T115" s="1433"/>
      <c r="U115" s="1430" t="s">
        <v>1311</v>
      </c>
      <c r="V115" s="1430"/>
      <c r="W115" s="1430"/>
    </row>
    <row r="116" spans="1:23" ht="42.75">
      <c r="A116" s="1436"/>
      <c r="B116" s="1432"/>
      <c r="C116" s="199" t="s">
        <v>153</v>
      </c>
      <c r="D116" s="665" t="s">
        <v>868</v>
      </c>
      <c r="E116" s="199" t="s">
        <v>153</v>
      </c>
      <c r="F116" s="666" t="s">
        <v>868</v>
      </c>
      <c r="G116" s="1432"/>
      <c r="H116" s="199" t="s">
        <v>153</v>
      </c>
      <c r="I116" s="665" t="s">
        <v>868</v>
      </c>
      <c r="J116" s="199" t="s">
        <v>153</v>
      </c>
      <c r="K116" s="666" t="s">
        <v>868</v>
      </c>
      <c r="L116" s="1432"/>
      <c r="M116" s="199" t="s">
        <v>153</v>
      </c>
      <c r="N116" s="665" t="s">
        <v>868</v>
      </c>
      <c r="O116" s="199" t="s">
        <v>153</v>
      </c>
      <c r="P116" s="666" t="s">
        <v>868</v>
      </c>
      <c r="Q116" s="7"/>
      <c r="R116" s="714" t="s">
        <v>1313</v>
      </c>
      <c r="S116" s="715" t="s">
        <v>1314</v>
      </c>
      <c r="T116" s="714"/>
      <c r="U116" s="714" t="s">
        <v>1313</v>
      </c>
      <c r="V116" s="715" t="s">
        <v>1314</v>
      </c>
      <c r="W116" s="309"/>
    </row>
    <row r="117" spans="1:23" ht="14.25">
      <c r="A117" s="708">
        <v>22</v>
      </c>
      <c r="B117" s="716"/>
      <c r="C117" s="717"/>
      <c r="D117" s="213"/>
      <c r="E117" s="717"/>
      <c r="F117" s="214"/>
      <c r="G117" s="716"/>
      <c r="H117" s="717"/>
      <c r="I117" s="675"/>
      <c r="J117" s="717"/>
      <c r="K117" s="674"/>
      <c r="L117" s="716"/>
      <c r="M117" s="717"/>
      <c r="N117" s="213"/>
      <c r="O117" s="717"/>
      <c r="P117" s="718"/>
      <c r="Q117" s="7"/>
      <c r="R117" s="678"/>
      <c r="S117" s="678"/>
      <c r="T117" s="678"/>
      <c r="U117" s="678"/>
      <c r="V117" s="678"/>
      <c r="W117" s="677">
        <f t="shared" ref="W117:W138" si="34">SUM(U117-V117)</f>
        <v>0</v>
      </c>
    </row>
    <row r="118" spans="1:23" ht="14.25">
      <c r="A118" s="14">
        <v>21</v>
      </c>
      <c r="B118" s="215"/>
      <c r="C118" s="216"/>
      <c r="D118" s="217"/>
      <c r="E118" s="216"/>
      <c r="F118" s="218"/>
      <c r="G118" s="215"/>
      <c r="H118" s="216"/>
      <c r="I118" s="682"/>
      <c r="J118" s="216"/>
      <c r="K118" s="683"/>
      <c r="L118" s="215"/>
      <c r="M118" s="216"/>
      <c r="N118" s="217"/>
      <c r="O118" s="216"/>
      <c r="P118" s="719"/>
      <c r="Q118" s="7"/>
      <c r="R118" s="678"/>
      <c r="S118" s="678"/>
      <c r="T118" s="678"/>
      <c r="U118" s="678"/>
      <c r="V118" s="678"/>
      <c r="W118" s="677">
        <f t="shared" si="34"/>
        <v>0</v>
      </c>
    </row>
    <row r="119" spans="1:23" ht="14.25">
      <c r="A119" s="14">
        <v>20</v>
      </c>
      <c r="B119" s="215"/>
      <c r="C119" s="216"/>
      <c r="D119" s="217"/>
      <c r="E119" s="216"/>
      <c r="F119" s="218"/>
      <c r="G119" s="215"/>
      <c r="H119" s="216"/>
      <c r="I119" s="682"/>
      <c r="J119" s="216"/>
      <c r="K119" s="683"/>
      <c r="L119" s="215"/>
      <c r="M119" s="216"/>
      <c r="N119" s="217"/>
      <c r="O119" s="216"/>
      <c r="P119" s="719"/>
      <c r="Q119" s="7"/>
      <c r="R119" s="678"/>
      <c r="S119" s="678"/>
      <c r="T119" s="678"/>
      <c r="U119" s="678"/>
      <c r="V119" s="678"/>
      <c r="W119" s="677">
        <f t="shared" si="34"/>
        <v>0</v>
      </c>
    </row>
    <row r="120" spans="1:23" ht="14.25">
      <c r="A120" s="710">
        <v>19</v>
      </c>
      <c r="B120" s="215"/>
      <c r="C120" s="216"/>
      <c r="D120" s="217"/>
      <c r="E120" s="216"/>
      <c r="F120" s="218"/>
      <c r="G120" s="215"/>
      <c r="H120" s="216"/>
      <c r="I120" s="682"/>
      <c r="J120" s="216"/>
      <c r="K120" s="683"/>
      <c r="L120" s="216"/>
      <c r="M120" s="216"/>
      <c r="N120" s="217"/>
      <c r="O120" s="216"/>
      <c r="P120" s="719">
        <f>+K120</f>
        <v>0</v>
      </c>
      <c r="Q120" s="7"/>
      <c r="R120" s="678"/>
      <c r="S120" s="678"/>
      <c r="T120" s="678"/>
      <c r="U120" s="678"/>
      <c r="V120" s="678"/>
      <c r="W120" s="677">
        <f t="shared" si="34"/>
        <v>0</v>
      </c>
    </row>
    <row r="121" spans="1:23" ht="14.25">
      <c r="A121" s="14">
        <v>18</v>
      </c>
      <c r="B121" s="215">
        <v>2</v>
      </c>
      <c r="C121" s="216"/>
      <c r="D121" s="217"/>
      <c r="E121" s="216">
        <v>2</v>
      </c>
      <c r="F121" s="218">
        <v>1.755444</v>
      </c>
      <c r="G121" s="215">
        <v>2</v>
      </c>
      <c r="H121" s="216"/>
      <c r="I121" s="682">
        <f>SUM(S121/1000000)</f>
        <v>0</v>
      </c>
      <c r="J121" s="216">
        <f t="shared" ref="J121:J137" si="35">SUM(G121-H121)</f>
        <v>2</v>
      </c>
      <c r="K121" s="683">
        <f t="shared" ref="K121:K137" si="36">SUM(R121-S121)/100000</f>
        <v>16.39716</v>
      </c>
      <c r="L121" s="215">
        <v>2</v>
      </c>
      <c r="M121" s="216"/>
      <c r="N121" s="217"/>
      <c r="O121" s="216">
        <f t="shared" ref="O121:O137" si="37">SUM(L121-M121)</f>
        <v>2</v>
      </c>
      <c r="P121" s="719">
        <f>+K121</f>
        <v>16.39716</v>
      </c>
      <c r="Q121" s="7"/>
      <c r="R121" s="678">
        <v>1639716</v>
      </c>
      <c r="S121" s="678"/>
      <c r="T121" s="678"/>
      <c r="U121" s="678"/>
      <c r="V121" s="678"/>
      <c r="W121" s="677">
        <f>SUM(U121-V121)</f>
        <v>0</v>
      </c>
    </row>
    <row r="122" spans="1:23" ht="14.25">
      <c r="A122" s="14">
        <v>17</v>
      </c>
      <c r="B122" s="215">
        <v>9</v>
      </c>
      <c r="C122" s="216">
        <v>8</v>
      </c>
      <c r="D122" s="217">
        <v>8.5318319999999996</v>
      </c>
      <c r="E122" s="216">
        <v>1</v>
      </c>
      <c r="F122" s="218">
        <v>0.65824800000000006</v>
      </c>
      <c r="G122" s="215">
        <v>7</v>
      </c>
      <c r="H122" s="216">
        <v>6</v>
      </c>
      <c r="I122" s="682">
        <f t="shared" ref="I122:I125" si="38">SUM(S122/1000000)</f>
        <v>6.6030360000000003</v>
      </c>
      <c r="J122" s="216">
        <f t="shared" si="35"/>
        <v>1</v>
      </c>
      <c r="K122" s="683">
        <f t="shared" si="36"/>
        <v>7.2129599999999998</v>
      </c>
      <c r="L122" s="215">
        <v>7</v>
      </c>
      <c r="M122" s="216">
        <v>6</v>
      </c>
      <c r="N122" s="217">
        <f t="shared" ref="N122:N135" si="39">SUM(U122/1000000)</f>
        <v>6.8017560000000001</v>
      </c>
      <c r="O122" s="216">
        <f t="shared" si="37"/>
        <v>1</v>
      </c>
      <c r="P122" s="719">
        <f>+K122</f>
        <v>7.2129599999999998</v>
      </c>
      <c r="Q122" s="7"/>
      <c r="R122" s="678">
        <v>7324332</v>
      </c>
      <c r="S122" s="678">
        <v>6603036</v>
      </c>
      <c r="T122" s="678"/>
      <c r="U122" s="678">
        <v>6801756</v>
      </c>
      <c r="V122" s="678"/>
      <c r="W122" s="677">
        <f t="shared" ref="W122:W125" si="40">SUM(U122-V122)</f>
        <v>6801756</v>
      </c>
    </row>
    <row r="123" spans="1:23" ht="14.25">
      <c r="A123" s="14">
        <v>16</v>
      </c>
      <c r="B123" s="200">
        <v>42</v>
      </c>
      <c r="C123" s="204">
        <v>29</v>
      </c>
      <c r="D123" s="720">
        <v>23.127611999999999</v>
      </c>
      <c r="E123" s="204">
        <v>13</v>
      </c>
      <c r="F123" s="721">
        <v>5.988588</v>
      </c>
      <c r="G123" s="200">
        <v>46</v>
      </c>
      <c r="H123" s="204">
        <v>33</v>
      </c>
      <c r="I123" s="682">
        <f t="shared" si="38"/>
        <v>28.725000000000001</v>
      </c>
      <c r="J123" s="216">
        <f t="shared" si="35"/>
        <v>13</v>
      </c>
      <c r="K123" s="683">
        <f t="shared" si="36"/>
        <v>63.568440000000002</v>
      </c>
      <c r="L123" s="200">
        <v>46</v>
      </c>
      <c r="M123" s="204">
        <v>33</v>
      </c>
      <c r="N123" s="217">
        <f t="shared" si="39"/>
        <v>29.452559999999998</v>
      </c>
      <c r="O123" s="216">
        <f t="shared" si="37"/>
        <v>13</v>
      </c>
      <c r="P123" s="719">
        <f t="shared" ref="P123:P137" si="41">+K123</f>
        <v>63.568440000000002</v>
      </c>
      <c r="Q123" s="7"/>
      <c r="R123" s="678">
        <v>35081844</v>
      </c>
      <c r="S123" s="678">
        <v>28725000</v>
      </c>
      <c r="T123" s="678"/>
      <c r="U123" s="678">
        <v>29452560</v>
      </c>
      <c r="V123" s="678"/>
      <c r="W123" s="677">
        <f t="shared" si="40"/>
        <v>29452560</v>
      </c>
    </row>
    <row r="124" spans="1:23" ht="14.25">
      <c r="A124" s="14">
        <v>15</v>
      </c>
      <c r="B124" s="200">
        <v>8</v>
      </c>
      <c r="C124" s="204">
        <v>8</v>
      </c>
      <c r="D124" s="720">
        <v>5.1799559999999998</v>
      </c>
      <c r="E124" s="204"/>
      <c r="F124" s="721"/>
      <c r="G124" s="200">
        <v>4</v>
      </c>
      <c r="H124" s="204">
        <v>4</v>
      </c>
      <c r="I124" s="682">
        <f t="shared" si="38"/>
        <v>2.7884280000000001</v>
      </c>
      <c r="J124" s="216"/>
      <c r="K124" s="683">
        <f t="shared" si="36"/>
        <v>0</v>
      </c>
      <c r="L124" s="200">
        <v>4</v>
      </c>
      <c r="M124" s="204">
        <v>4</v>
      </c>
      <c r="N124" s="217">
        <f t="shared" si="39"/>
        <v>2.8650359999999999</v>
      </c>
      <c r="O124" s="216"/>
      <c r="P124" s="719">
        <f t="shared" si="41"/>
        <v>0</v>
      </c>
      <c r="Q124" s="7"/>
      <c r="R124" s="678">
        <v>2788428</v>
      </c>
      <c r="S124" s="678">
        <f>+R124</f>
        <v>2788428</v>
      </c>
      <c r="T124" s="678"/>
      <c r="U124" s="678">
        <v>2865036</v>
      </c>
      <c r="V124" s="678"/>
      <c r="W124" s="677">
        <f t="shared" si="40"/>
        <v>2865036</v>
      </c>
    </row>
    <row r="125" spans="1:23" ht="14.25">
      <c r="A125" s="22">
        <v>14</v>
      </c>
      <c r="B125" s="201">
        <v>11</v>
      </c>
      <c r="C125" s="204">
        <v>10</v>
      </c>
      <c r="D125" s="720">
        <v>6.4023599999999998</v>
      </c>
      <c r="E125" s="204">
        <v>1</v>
      </c>
      <c r="F125" s="721">
        <v>0.359016</v>
      </c>
      <c r="G125" s="201">
        <v>7</v>
      </c>
      <c r="H125" s="204">
        <v>7</v>
      </c>
      <c r="I125" s="682">
        <f t="shared" si="38"/>
        <v>4.5629879999999998</v>
      </c>
      <c r="J125" s="216"/>
      <c r="K125" s="683">
        <f t="shared" si="36"/>
        <v>0</v>
      </c>
      <c r="L125" s="201">
        <v>7</v>
      </c>
      <c r="M125" s="204">
        <v>7</v>
      </c>
      <c r="N125" s="217">
        <f t="shared" si="39"/>
        <v>4.6973520000000004</v>
      </c>
      <c r="O125" s="216"/>
      <c r="P125" s="719">
        <f t="shared" si="41"/>
        <v>0</v>
      </c>
      <c r="Q125" s="7"/>
      <c r="R125" s="678">
        <v>4562988</v>
      </c>
      <c r="S125" s="678">
        <f>+R125</f>
        <v>4562988</v>
      </c>
      <c r="T125" s="678"/>
      <c r="U125" s="678">
        <v>4697352</v>
      </c>
      <c r="V125" s="678"/>
      <c r="W125" s="677">
        <f t="shared" si="40"/>
        <v>4697352</v>
      </c>
    </row>
    <row r="126" spans="1:23" ht="14.25">
      <c r="A126" s="22">
        <v>13</v>
      </c>
      <c r="B126" s="201"/>
      <c r="C126" s="204"/>
      <c r="D126" s="720"/>
      <c r="E126" s="204"/>
      <c r="F126" s="721"/>
      <c r="G126" s="201"/>
      <c r="H126" s="204"/>
      <c r="I126" s="682"/>
      <c r="J126" s="216"/>
      <c r="K126" s="683">
        <f t="shared" si="36"/>
        <v>0</v>
      </c>
      <c r="L126" s="201"/>
      <c r="M126" s="204"/>
      <c r="N126" s="217"/>
      <c r="O126" s="216"/>
      <c r="P126" s="719">
        <f t="shared" si="41"/>
        <v>0</v>
      </c>
      <c r="Q126" s="7"/>
      <c r="R126" s="678"/>
      <c r="S126" s="678"/>
      <c r="T126" s="678"/>
      <c r="V126" s="678"/>
      <c r="W126" s="677">
        <f>SUM(U127-V126)</f>
        <v>5620236</v>
      </c>
    </row>
    <row r="127" spans="1:23" ht="14.25">
      <c r="A127" s="22">
        <v>12</v>
      </c>
      <c r="B127" s="201">
        <v>10</v>
      </c>
      <c r="C127" s="204">
        <v>10</v>
      </c>
      <c r="D127" s="720">
        <v>5.6117160000000004</v>
      </c>
      <c r="E127" s="204"/>
      <c r="F127" s="721"/>
      <c r="G127" s="201">
        <v>9</v>
      </c>
      <c r="H127" s="204">
        <v>9</v>
      </c>
      <c r="I127" s="682">
        <f t="shared" ref="I127:I128" si="42">SUM(S127/1000000)</f>
        <v>5.4761160000000002</v>
      </c>
      <c r="J127" s="216"/>
      <c r="K127" s="683">
        <f t="shared" si="36"/>
        <v>0</v>
      </c>
      <c r="L127" s="201">
        <v>9</v>
      </c>
      <c r="M127" s="204">
        <v>9</v>
      </c>
      <c r="N127" s="217">
        <f t="shared" si="39"/>
        <v>5.6202360000000002</v>
      </c>
      <c r="O127" s="216"/>
      <c r="P127" s="719">
        <f t="shared" si="41"/>
        <v>0</v>
      </c>
      <c r="Q127" s="7"/>
      <c r="R127" s="678">
        <v>5476116</v>
      </c>
      <c r="S127" s="678">
        <f>+R127</f>
        <v>5476116</v>
      </c>
      <c r="T127" s="678"/>
      <c r="U127" s="678">
        <v>5620236</v>
      </c>
      <c r="V127" s="678"/>
      <c r="W127" s="677">
        <f>SUM(U128-V127)</f>
        <v>3917484</v>
      </c>
    </row>
    <row r="128" spans="1:23" ht="14.25">
      <c r="A128" s="22">
        <v>11</v>
      </c>
      <c r="B128" s="201">
        <v>16</v>
      </c>
      <c r="C128" s="204">
        <v>6</v>
      </c>
      <c r="D128" s="720">
        <v>3.1019399999999999</v>
      </c>
      <c r="E128" s="204">
        <v>10</v>
      </c>
      <c r="F128" s="721">
        <v>2.931</v>
      </c>
      <c r="G128" s="201">
        <v>19</v>
      </c>
      <c r="H128" s="204">
        <v>7</v>
      </c>
      <c r="I128" s="682">
        <f t="shared" si="42"/>
        <v>3.8075999999999999</v>
      </c>
      <c r="J128" s="216">
        <f t="shared" si="35"/>
        <v>12</v>
      </c>
      <c r="K128" s="683">
        <f t="shared" si="36"/>
        <v>37.98216</v>
      </c>
      <c r="L128" s="201">
        <v>19</v>
      </c>
      <c r="M128" s="204">
        <v>7</v>
      </c>
      <c r="N128" s="217">
        <f t="shared" si="39"/>
        <v>3.917484</v>
      </c>
      <c r="O128" s="216">
        <f t="shared" si="37"/>
        <v>12</v>
      </c>
      <c r="P128" s="719">
        <f t="shared" si="41"/>
        <v>37.98216</v>
      </c>
      <c r="Q128" s="7"/>
      <c r="R128" s="678">
        <v>7605816</v>
      </c>
      <c r="S128" s="678">
        <v>3807600</v>
      </c>
      <c r="T128" s="678"/>
      <c r="U128" s="678">
        <v>3917484</v>
      </c>
      <c r="V128" s="678"/>
      <c r="W128" s="677">
        <f t="shared" si="34"/>
        <v>3917484</v>
      </c>
    </row>
    <row r="129" spans="1:23" ht="14.25">
      <c r="A129" s="22">
        <v>10</v>
      </c>
      <c r="B129" s="201"/>
      <c r="C129" s="204"/>
      <c r="D129" s="720"/>
      <c r="E129" s="204"/>
      <c r="F129" s="721"/>
      <c r="G129" s="201"/>
      <c r="H129" s="204"/>
      <c r="I129" s="682"/>
      <c r="J129" s="216"/>
      <c r="K129" s="683">
        <f t="shared" si="36"/>
        <v>0</v>
      </c>
      <c r="L129" s="201"/>
      <c r="M129" s="204"/>
      <c r="N129" s="217"/>
      <c r="O129" s="216"/>
      <c r="P129" s="719">
        <f t="shared" si="41"/>
        <v>0</v>
      </c>
      <c r="Q129" s="7"/>
      <c r="R129" s="678"/>
      <c r="S129" s="678"/>
      <c r="T129" s="678"/>
      <c r="U129" s="678"/>
      <c r="V129" s="678"/>
      <c r="W129" s="677">
        <f t="shared" si="34"/>
        <v>0</v>
      </c>
    </row>
    <row r="130" spans="1:23" ht="14.25">
      <c r="A130" s="22">
        <v>9</v>
      </c>
      <c r="B130" s="201"/>
      <c r="C130" s="204"/>
      <c r="D130" s="720"/>
      <c r="E130" s="204"/>
      <c r="F130" s="721"/>
      <c r="G130" s="201"/>
      <c r="H130" s="204"/>
      <c r="I130" s="682"/>
      <c r="J130" s="216"/>
      <c r="K130" s="683">
        <f t="shared" si="36"/>
        <v>0</v>
      </c>
      <c r="L130" s="201"/>
      <c r="M130" s="204"/>
      <c r="N130" s="217"/>
      <c r="O130" s="216"/>
      <c r="P130" s="719">
        <f t="shared" si="41"/>
        <v>0</v>
      </c>
      <c r="Q130" s="7"/>
      <c r="R130" s="678"/>
      <c r="S130" s="678"/>
      <c r="T130" s="678"/>
      <c r="U130" s="678"/>
      <c r="V130" s="678"/>
      <c r="W130" s="677">
        <f t="shared" si="34"/>
        <v>0</v>
      </c>
    </row>
    <row r="131" spans="1:23" ht="14.25">
      <c r="A131" s="22">
        <v>8</v>
      </c>
      <c r="B131" s="201">
        <v>8</v>
      </c>
      <c r="C131" s="204">
        <v>4</v>
      </c>
      <c r="D131" s="720">
        <v>1.728264</v>
      </c>
      <c r="E131" s="204">
        <v>4</v>
      </c>
      <c r="F131" s="721"/>
      <c r="G131" s="201">
        <v>5</v>
      </c>
      <c r="H131" s="204">
        <v>5</v>
      </c>
      <c r="I131" s="682">
        <f t="shared" ref="I131:I135" si="43">SUM(S131/1000000)</f>
        <v>2.1978119999999999</v>
      </c>
      <c r="J131" s="216"/>
      <c r="K131" s="683">
        <f t="shared" si="36"/>
        <v>0</v>
      </c>
      <c r="L131" s="201">
        <v>5</v>
      </c>
      <c r="M131" s="204">
        <v>5</v>
      </c>
      <c r="N131" s="217">
        <f t="shared" si="39"/>
        <v>2.2572960000000002</v>
      </c>
      <c r="O131" s="216"/>
      <c r="P131" s="719">
        <f t="shared" si="41"/>
        <v>0</v>
      </c>
      <c r="Q131" s="7"/>
      <c r="R131" s="678">
        <v>2197812</v>
      </c>
      <c r="S131" s="678">
        <f>+R131</f>
        <v>2197812</v>
      </c>
      <c r="T131" s="678"/>
      <c r="U131" s="678">
        <v>2257296</v>
      </c>
      <c r="V131" s="678"/>
      <c r="W131" s="677">
        <f t="shared" si="34"/>
        <v>2257296</v>
      </c>
    </row>
    <row r="132" spans="1:23" ht="14.25">
      <c r="A132" s="22">
        <v>7</v>
      </c>
      <c r="B132" s="201">
        <v>34</v>
      </c>
      <c r="C132" s="204">
        <v>22</v>
      </c>
      <c r="D132" s="720">
        <v>9.4468560000000004</v>
      </c>
      <c r="E132" s="204">
        <v>12</v>
      </c>
      <c r="F132" s="721">
        <v>2.9783520000000001</v>
      </c>
      <c r="G132" s="201">
        <v>31</v>
      </c>
      <c r="H132" s="204">
        <v>20</v>
      </c>
      <c r="I132" s="682">
        <f t="shared" si="43"/>
        <v>9.3767519999999998</v>
      </c>
      <c r="J132" s="216">
        <f t="shared" si="35"/>
        <v>11</v>
      </c>
      <c r="K132" s="683">
        <f t="shared" si="36"/>
        <v>29.515560000000001</v>
      </c>
      <c r="L132" s="201">
        <v>31</v>
      </c>
      <c r="M132" s="204">
        <v>20</v>
      </c>
      <c r="N132" s="217">
        <f t="shared" si="39"/>
        <v>9.5934600000000003</v>
      </c>
      <c r="O132" s="216">
        <f t="shared" si="37"/>
        <v>11</v>
      </c>
      <c r="P132" s="719">
        <f t="shared" si="41"/>
        <v>29.515560000000001</v>
      </c>
      <c r="Q132" s="7"/>
      <c r="R132" s="678">
        <v>12328308</v>
      </c>
      <c r="S132" s="678">
        <v>9376752</v>
      </c>
      <c r="T132" s="678"/>
      <c r="U132" s="678">
        <v>9593460</v>
      </c>
      <c r="V132" s="678"/>
      <c r="W132" s="677">
        <f t="shared" si="34"/>
        <v>9593460</v>
      </c>
    </row>
    <row r="133" spans="1:23" ht="14.25">
      <c r="A133" s="22">
        <v>6</v>
      </c>
      <c r="B133" s="201">
        <v>5</v>
      </c>
      <c r="C133" s="204">
        <v>5</v>
      </c>
      <c r="D133" s="720">
        <v>2.0405519999999999</v>
      </c>
      <c r="E133" s="204"/>
      <c r="F133" s="721"/>
      <c r="G133" s="201">
        <v>4</v>
      </c>
      <c r="H133" s="204">
        <v>4</v>
      </c>
      <c r="I133" s="682">
        <f t="shared" si="43"/>
        <v>1.8636360000000001</v>
      </c>
      <c r="J133" s="216"/>
      <c r="K133" s="683">
        <f t="shared" si="36"/>
        <v>0</v>
      </c>
      <c r="L133" s="201">
        <v>4</v>
      </c>
      <c r="M133" s="204">
        <v>4</v>
      </c>
      <c r="N133" s="217">
        <f t="shared" si="39"/>
        <v>1.9053</v>
      </c>
      <c r="O133" s="216"/>
      <c r="P133" s="719">
        <f t="shared" si="41"/>
        <v>0</v>
      </c>
      <c r="Q133" s="7"/>
      <c r="R133" s="678">
        <v>1863636</v>
      </c>
      <c r="S133" s="678">
        <f>+R133</f>
        <v>1863636</v>
      </c>
      <c r="T133" s="678"/>
      <c r="U133" s="678">
        <v>1905300</v>
      </c>
      <c r="V133" s="678"/>
      <c r="W133" s="677">
        <f t="shared" si="34"/>
        <v>1905300</v>
      </c>
    </row>
    <row r="134" spans="1:23" ht="14.25">
      <c r="A134" s="22">
        <v>5</v>
      </c>
      <c r="B134" s="201">
        <v>30</v>
      </c>
      <c r="C134" s="204">
        <v>2</v>
      </c>
      <c r="D134" s="720">
        <v>0.74696399999999996</v>
      </c>
      <c r="E134" s="204">
        <v>28</v>
      </c>
      <c r="F134" s="721">
        <v>6.5254560000000001</v>
      </c>
      <c r="G134" s="201">
        <v>31</v>
      </c>
      <c r="H134" s="204">
        <v>1</v>
      </c>
      <c r="I134" s="682">
        <f t="shared" si="43"/>
        <v>0.39704400000000001</v>
      </c>
      <c r="J134" s="216">
        <f t="shared" si="35"/>
        <v>30</v>
      </c>
      <c r="K134" s="683">
        <f t="shared" si="36"/>
        <v>76.316400000000002</v>
      </c>
      <c r="L134" s="201">
        <v>31</v>
      </c>
      <c r="M134" s="204">
        <v>1</v>
      </c>
      <c r="N134" s="217">
        <f t="shared" si="39"/>
        <v>0.40634399999999998</v>
      </c>
      <c r="O134" s="216">
        <f t="shared" si="37"/>
        <v>30</v>
      </c>
      <c r="P134" s="719">
        <f t="shared" si="41"/>
        <v>76.316400000000002</v>
      </c>
      <c r="Q134" s="7"/>
      <c r="R134" s="678">
        <v>8028684</v>
      </c>
      <c r="S134" s="678">
        <v>397044</v>
      </c>
      <c r="T134" s="678"/>
      <c r="U134" s="678">
        <v>406344</v>
      </c>
      <c r="V134" s="678"/>
      <c r="W134" s="677">
        <f t="shared" si="34"/>
        <v>406344</v>
      </c>
    </row>
    <row r="135" spans="1:23" ht="14.25">
      <c r="A135" s="22">
        <v>4</v>
      </c>
      <c r="B135" s="201">
        <v>38</v>
      </c>
      <c r="C135" s="204">
        <v>38</v>
      </c>
      <c r="D135" s="720">
        <v>11.194523999999999</v>
      </c>
      <c r="E135" s="204"/>
      <c r="F135" s="721"/>
      <c r="G135" s="201">
        <v>39</v>
      </c>
      <c r="H135" s="204">
        <v>39</v>
      </c>
      <c r="I135" s="682">
        <f t="shared" si="43"/>
        <v>12.592116000000001</v>
      </c>
      <c r="J135" s="216"/>
      <c r="K135" s="683">
        <f t="shared" si="36"/>
        <v>0</v>
      </c>
      <c r="L135" s="201">
        <v>39</v>
      </c>
      <c r="M135" s="204">
        <v>39</v>
      </c>
      <c r="N135" s="217">
        <f t="shared" si="39"/>
        <v>12.911292</v>
      </c>
      <c r="O135" s="216"/>
      <c r="P135" s="719">
        <f t="shared" si="41"/>
        <v>0</v>
      </c>
      <c r="Q135" s="7"/>
      <c r="R135" s="678">
        <v>12592116</v>
      </c>
      <c r="S135" s="678">
        <f>+R135</f>
        <v>12592116</v>
      </c>
      <c r="T135" s="678"/>
      <c r="U135" s="678">
        <v>12911292</v>
      </c>
      <c r="V135" s="678"/>
      <c r="W135" s="677">
        <f t="shared" si="34"/>
        <v>12911292</v>
      </c>
    </row>
    <row r="136" spans="1:23" ht="14.25">
      <c r="A136" s="22">
        <v>3</v>
      </c>
      <c r="B136" s="201"/>
      <c r="C136" s="204"/>
      <c r="D136" s="720"/>
      <c r="E136" s="204"/>
      <c r="F136" s="721"/>
      <c r="G136" s="201"/>
      <c r="H136" s="204"/>
      <c r="I136" s="682"/>
      <c r="J136" s="216"/>
      <c r="K136" s="683">
        <f t="shared" si="36"/>
        <v>0</v>
      </c>
      <c r="L136" s="201"/>
      <c r="M136" s="204"/>
      <c r="N136" s="217"/>
      <c r="O136" s="216"/>
      <c r="P136" s="719">
        <f t="shared" si="41"/>
        <v>0</v>
      </c>
      <c r="Q136" s="7"/>
      <c r="R136" s="678"/>
      <c r="S136" s="678"/>
      <c r="T136" s="678"/>
      <c r="U136" s="678"/>
      <c r="V136" s="678"/>
      <c r="W136" s="677"/>
    </row>
    <row r="137" spans="1:23" ht="14.25">
      <c r="A137" s="22">
        <v>2</v>
      </c>
      <c r="B137" s="201">
        <v>59</v>
      </c>
      <c r="C137" s="204">
        <v>1</v>
      </c>
      <c r="D137" s="720">
        <v>0.29470800000000003</v>
      </c>
      <c r="E137" s="204">
        <v>58</v>
      </c>
      <c r="F137" s="721">
        <v>12.558624</v>
      </c>
      <c r="G137" s="201">
        <v>59</v>
      </c>
      <c r="H137" s="204"/>
      <c r="I137" s="682"/>
      <c r="J137" s="216">
        <f t="shared" si="35"/>
        <v>59</v>
      </c>
      <c r="K137" s="683">
        <f t="shared" si="36"/>
        <v>138.87876</v>
      </c>
      <c r="L137" s="201">
        <v>59</v>
      </c>
      <c r="M137" s="204"/>
      <c r="N137" s="217"/>
      <c r="O137" s="216">
        <f t="shared" si="37"/>
        <v>59</v>
      </c>
      <c r="P137" s="719">
        <f t="shared" si="41"/>
        <v>138.87876</v>
      </c>
      <c r="Q137" s="7"/>
      <c r="R137" s="678">
        <v>13887876</v>
      </c>
      <c r="S137" s="678"/>
      <c r="T137" s="678"/>
      <c r="U137" s="678"/>
      <c r="V137" s="678"/>
      <c r="W137" s="677">
        <f>SUM(U137-V137)</f>
        <v>0</v>
      </c>
    </row>
    <row r="138" spans="1:23">
      <c r="A138" s="22">
        <v>1</v>
      </c>
      <c r="B138" s="201"/>
      <c r="C138" s="204"/>
      <c r="D138" s="720"/>
      <c r="E138" s="204">
        <v>0</v>
      </c>
      <c r="F138" s="721">
        <v>0</v>
      </c>
      <c r="G138" s="722"/>
      <c r="H138" s="204"/>
      <c r="I138" s="723"/>
      <c r="J138" s="216"/>
      <c r="K138" s="724"/>
      <c r="L138" s="201"/>
      <c r="M138" s="204"/>
      <c r="N138" s="720"/>
      <c r="O138" s="216"/>
      <c r="P138" s="721"/>
      <c r="Q138" s="7"/>
      <c r="R138" s="678"/>
      <c r="S138" s="678"/>
      <c r="T138" s="678"/>
      <c r="U138" s="678"/>
      <c r="V138" s="678"/>
      <c r="W138" s="677">
        <f t="shared" si="34"/>
        <v>0</v>
      </c>
    </row>
    <row r="139" spans="1:23">
      <c r="A139" s="339" t="s">
        <v>138</v>
      </c>
      <c r="B139" s="340">
        <f>SUM(B117:B138)</f>
        <v>272</v>
      </c>
      <c r="C139" s="340">
        <f t="shared" ref="C139:P139" si="44">SUM(C117:C138)</f>
        <v>143</v>
      </c>
      <c r="D139" s="341">
        <f t="shared" si="44"/>
        <v>77.407284000000018</v>
      </c>
      <c r="E139" s="340">
        <f t="shared" si="44"/>
        <v>129</v>
      </c>
      <c r="F139" s="341">
        <f t="shared" si="44"/>
        <v>33.754728000000007</v>
      </c>
      <c r="G139" s="340">
        <f t="shared" si="44"/>
        <v>263</v>
      </c>
      <c r="H139" s="340">
        <f t="shared" si="44"/>
        <v>135</v>
      </c>
      <c r="I139" s="341">
        <f t="shared" si="44"/>
        <v>78.390528000000003</v>
      </c>
      <c r="J139" s="340">
        <f t="shared" si="44"/>
        <v>128</v>
      </c>
      <c r="K139" s="341">
        <f t="shared" si="44"/>
        <v>369.87144000000001</v>
      </c>
      <c r="L139" s="340">
        <f t="shared" si="44"/>
        <v>263</v>
      </c>
      <c r="M139" s="340">
        <f t="shared" si="44"/>
        <v>135</v>
      </c>
      <c r="N139" s="341">
        <f t="shared" si="44"/>
        <v>80.428115999999989</v>
      </c>
      <c r="O139" s="340">
        <f t="shared" si="44"/>
        <v>128</v>
      </c>
      <c r="P139" s="712">
        <f t="shared" si="44"/>
        <v>369.87144000000001</v>
      </c>
    </row>
    <row r="140" spans="1:23" ht="18">
      <c r="A140" s="1429" t="s">
        <v>1291</v>
      </c>
      <c r="B140" s="1429"/>
      <c r="C140" s="1429"/>
      <c r="D140" s="1429"/>
      <c r="E140" s="1429"/>
      <c r="F140" s="1429"/>
      <c r="G140" s="1429"/>
      <c r="H140" s="1429"/>
      <c r="I140" s="1429"/>
      <c r="J140" s="1429"/>
      <c r="K140" s="1429"/>
      <c r="L140" s="1429"/>
      <c r="M140" s="1429"/>
      <c r="N140" s="1429"/>
      <c r="O140" s="1429"/>
      <c r="P140" s="1429"/>
      <c r="Q140" s="7"/>
      <c r="R140" s="678"/>
      <c r="S140" s="678"/>
      <c r="T140" s="678"/>
      <c r="U140" s="678"/>
      <c r="V140" s="678"/>
      <c r="W140" s="7"/>
    </row>
    <row r="141" spans="1:23">
      <c r="A141" s="1434" t="s">
        <v>873</v>
      </c>
      <c r="B141" s="1437" t="str">
        <f>+$B$6</f>
        <v>Status during last FY 2017-18</v>
      </c>
      <c r="C141" s="1438"/>
      <c r="D141" s="1438"/>
      <c r="E141" s="1438"/>
      <c r="F141" s="1439"/>
      <c r="G141" s="1437" t="str">
        <f>+$G$6</f>
        <v>Status during current FY 2018-19</v>
      </c>
      <c r="H141" s="1438"/>
      <c r="I141" s="1438"/>
      <c r="J141" s="1438"/>
      <c r="K141" s="1439"/>
      <c r="L141" s="1437" t="str">
        <f>+$L$6</f>
        <v>Planned for next FY 2019-20</v>
      </c>
      <c r="M141" s="1438"/>
      <c r="N141" s="1438"/>
      <c r="O141" s="1438"/>
      <c r="P141" s="1439"/>
      <c r="Q141" s="7"/>
      <c r="R141" s="678"/>
      <c r="S141" s="678"/>
      <c r="T141" s="678"/>
      <c r="U141" s="678"/>
      <c r="V141" s="678"/>
      <c r="W141" s="7"/>
    </row>
    <row r="142" spans="1:23">
      <c r="A142" s="1435"/>
      <c r="B142" s="1431" t="s">
        <v>872</v>
      </c>
      <c r="C142" s="1411" t="s">
        <v>134</v>
      </c>
      <c r="D142" s="1411"/>
      <c r="E142" s="1412" t="s">
        <v>135</v>
      </c>
      <c r="F142" s="1413"/>
      <c r="G142" s="1431" t="s">
        <v>869</v>
      </c>
      <c r="H142" s="1411" t="s">
        <v>134</v>
      </c>
      <c r="I142" s="1411"/>
      <c r="J142" s="1412" t="s">
        <v>135</v>
      </c>
      <c r="K142" s="1413"/>
      <c r="L142" s="1431" t="s">
        <v>869</v>
      </c>
      <c r="M142" s="1411" t="s">
        <v>134</v>
      </c>
      <c r="N142" s="1411"/>
      <c r="O142" s="1412" t="s">
        <v>135</v>
      </c>
      <c r="P142" s="1413"/>
      <c r="Q142" s="7"/>
      <c r="R142" s="1433" t="s">
        <v>1310</v>
      </c>
      <c r="S142" s="1433"/>
      <c r="T142" s="1433"/>
      <c r="U142" s="1430" t="s">
        <v>1311</v>
      </c>
      <c r="V142" s="1430"/>
      <c r="W142" s="1430"/>
    </row>
    <row r="143" spans="1:23" ht="42.75">
      <c r="A143" s="1436"/>
      <c r="B143" s="1432"/>
      <c r="C143" s="199" t="s">
        <v>153</v>
      </c>
      <c r="D143" s="665" t="s">
        <v>868</v>
      </c>
      <c r="E143" s="199" t="s">
        <v>153</v>
      </c>
      <c r="F143" s="666" t="s">
        <v>868</v>
      </c>
      <c r="G143" s="1432"/>
      <c r="H143" s="199" t="s">
        <v>153</v>
      </c>
      <c r="I143" s="665" t="s">
        <v>868</v>
      </c>
      <c r="J143" s="199" t="s">
        <v>153</v>
      </c>
      <c r="K143" s="666" t="s">
        <v>868</v>
      </c>
      <c r="L143" s="1432"/>
      <c r="M143" s="199" t="s">
        <v>153</v>
      </c>
      <c r="N143" s="665" t="s">
        <v>868</v>
      </c>
      <c r="O143" s="199" t="s">
        <v>153</v>
      </c>
      <c r="P143" s="666" t="s">
        <v>868</v>
      </c>
      <c r="Q143" s="7"/>
      <c r="R143" s="714" t="s">
        <v>1313</v>
      </c>
      <c r="S143" s="715" t="s">
        <v>1314</v>
      </c>
      <c r="T143" s="714"/>
      <c r="U143" s="714" t="s">
        <v>1313</v>
      </c>
      <c r="V143" s="715" t="s">
        <v>1314</v>
      </c>
      <c r="W143" s="309"/>
    </row>
    <row r="144" spans="1:23" ht="14.25">
      <c r="A144" s="708">
        <v>22</v>
      </c>
      <c r="B144" s="716"/>
      <c r="C144" s="717"/>
      <c r="D144" s="213"/>
      <c r="E144" s="717"/>
      <c r="F144" s="214"/>
      <c r="G144" s="716"/>
      <c r="H144" s="717"/>
      <c r="I144" s="675"/>
      <c r="J144" s="717"/>
      <c r="K144" s="674"/>
      <c r="L144" s="716"/>
      <c r="M144" s="717"/>
      <c r="N144" s="213"/>
      <c r="O144" s="717"/>
      <c r="P144" s="718"/>
      <c r="Q144" s="7"/>
      <c r="R144" s="678"/>
      <c r="S144" s="678"/>
      <c r="T144" s="678"/>
      <c r="U144" s="678"/>
      <c r="V144" s="678"/>
      <c r="W144" s="677">
        <f t="shared" ref="W144:W165" si="45">SUM(U144-V144)</f>
        <v>0</v>
      </c>
    </row>
    <row r="145" spans="1:23" ht="14.25">
      <c r="A145" s="14">
        <v>21</v>
      </c>
      <c r="B145" s="215"/>
      <c r="C145" s="216"/>
      <c r="D145" s="217"/>
      <c r="E145" s="216"/>
      <c r="F145" s="218"/>
      <c r="G145" s="215"/>
      <c r="H145" s="216"/>
      <c r="I145" s="682"/>
      <c r="J145" s="216"/>
      <c r="K145" s="683"/>
      <c r="L145" s="215"/>
      <c r="M145" s="216"/>
      <c r="N145" s="217"/>
      <c r="O145" s="216"/>
      <c r="P145" s="719"/>
      <c r="Q145" s="7"/>
      <c r="R145" s="678"/>
      <c r="S145" s="678"/>
      <c r="T145" s="678"/>
      <c r="U145" s="678"/>
      <c r="V145" s="678"/>
      <c r="W145" s="677">
        <f t="shared" si="45"/>
        <v>0</v>
      </c>
    </row>
    <row r="146" spans="1:23" ht="14.25">
      <c r="A146" s="14">
        <v>20</v>
      </c>
      <c r="B146" s="215"/>
      <c r="C146" s="216"/>
      <c r="D146" s="217"/>
      <c r="E146" s="216"/>
      <c r="F146" s="218"/>
      <c r="G146" s="215"/>
      <c r="H146" s="216"/>
      <c r="I146" s="682"/>
      <c r="J146" s="216"/>
      <c r="K146" s="683"/>
      <c r="L146" s="215"/>
      <c r="M146" s="216"/>
      <c r="N146" s="217"/>
      <c r="O146" s="216"/>
      <c r="P146" s="719"/>
      <c r="Q146" s="7"/>
      <c r="R146" s="678"/>
      <c r="S146" s="678"/>
      <c r="T146" s="678"/>
      <c r="U146" s="678"/>
      <c r="V146" s="678"/>
      <c r="W146" s="677">
        <f t="shared" si="45"/>
        <v>0</v>
      </c>
    </row>
    <row r="147" spans="1:23" ht="14.25">
      <c r="A147" s="710">
        <v>19</v>
      </c>
      <c r="B147" s="215"/>
      <c r="C147" s="216"/>
      <c r="D147" s="217"/>
      <c r="E147" s="216"/>
      <c r="F147" s="218"/>
      <c r="G147" s="215"/>
      <c r="H147" s="216"/>
      <c r="I147" s="682"/>
      <c r="J147" s="216"/>
      <c r="K147" s="683"/>
      <c r="L147" s="216"/>
      <c r="M147" s="216"/>
      <c r="N147" s="217"/>
      <c r="O147" s="216"/>
      <c r="P147" s="719">
        <f>+K147</f>
        <v>0</v>
      </c>
      <c r="Q147" s="7"/>
      <c r="R147" s="678"/>
      <c r="S147" s="678"/>
      <c r="T147" s="678"/>
      <c r="U147" s="678"/>
      <c r="V147" s="678"/>
      <c r="W147" s="677">
        <f t="shared" si="45"/>
        <v>0</v>
      </c>
    </row>
    <row r="148" spans="1:23" ht="14.25">
      <c r="A148" s="14">
        <v>18</v>
      </c>
      <c r="B148" s="215">
        <v>2</v>
      </c>
      <c r="C148" s="216">
        <v>2</v>
      </c>
      <c r="D148" s="217">
        <v>3.063504</v>
      </c>
      <c r="E148" s="216"/>
      <c r="F148" s="218"/>
      <c r="G148" s="215">
        <v>2</v>
      </c>
      <c r="H148" s="216">
        <v>2</v>
      </c>
      <c r="I148" s="682">
        <f>SUM(S148/1000000)</f>
        <v>3.2982360000000002</v>
      </c>
      <c r="J148" s="216"/>
      <c r="K148" s="683">
        <f t="shared" ref="K148:K164" si="46">SUM(R148-S148)/100000</f>
        <v>0</v>
      </c>
      <c r="L148" s="215">
        <v>2</v>
      </c>
      <c r="M148" s="216">
        <v>2</v>
      </c>
      <c r="N148" s="217">
        <f>SUM(U148/1000000)</f>
        <v>3.3808919999999998</v>
      </c>
      <c r="O148" s="216"/>
      <c r="P148" s="719">
        <f>+K148</f>
        <v>0</v>
      </c>
      <c r="Q148" s="7"/>
      <c r="R148" s="678">
        <v>3298236</v>
      </c>
      <c r="S148" s="678">
        <f>+R148</f>
        <v>3298236</v>
      </c>
      <c r="T148" s="678"/>
      <c r="U148" s="678">
        <v>3380892</v>
      </c>
      <c r="V148" s="678"/>
      <c r="W148" s="677">
        <f t="shared" si="45"/>
        <v>3380892</v>
      </c>
    </row>
    <row r="149" spans="1:23" ht="14.25">
      <c r="A149" s="14">
        <v>17</v>
      </c>
      <c r="B149" s="215">
        <v>7</v>
      </c>
      <c r="C149" s="216">
        <v>5</v>
      </c>
      <c r="D149" s="217">
        <v>5.3023319999999998</v>
      </c>
      <c r="E149" s="216">
        <v>2</v>
      </c>
      <c r="F149" s="218">
        <v>1.462728</v>
      </c>
      <c r="G149" s="215">
        <v>7</v>
      </c>
      <c r="H149" s="216">
        <v>3</v>
      </c>
      <c r="I149" s="682">
        <f t="shared" ref="I149:I152" si="47">SUM(S149/1000000)</f>
        <v>3.3264</v>
      </c>
      <c r="J149" s="216">
        <f t="shared" ref="J149:J164" si="48">SUM(G149-H149)</f>
        <v>4</v>
      </c>
      <c r="K149" s="683">
        <f t="shared" si="46"/>
        <v>26.457840000000001</v>
      </c>
      <c r="L149" s="215">
        <v>7</v>
      </c>
      <c r="M149" s="216">
        <v>3</v>
      </c>
      <c r="N149" s="217">
        <f t="shared" ref="N149:N162" si="49">SUM(U149/1000000)</f>
        <v>3.4257599999999999</v>
      </c>
      <c r="O149" s="216">
        <f t="shared" ref="O149:O164" si="50">SUM(L149-M149)</f>
        <v>4</v>
      </c>
      <c r="P149" s="719">
        <f>+K149</f>
        <v>26.457840000000001</v>
      </c>
      <c r="Q149" s="7"/>
      <c r="R149" s="678">
        <v>5972184</v>
      </c>
      <c r="S149" s="678">
        <v>3326400</v>
      </c>
      <c r="T149" s="678"/>
      <c r="U149" s="678">
        <v>3425760</v>
      </c>
      <c r="V149" s="678"/>
      <c r="W149" s="677">
        <f t="shared" si="45"/>
        <v>3425760</v>
      </c>
    </row>
    <row r="150" spans="1:23" ht="14.25">
      <c r="A150" s="14">
        <v>16</v>
      </c>
      <c r="B150" s="200">
        <v>28</v>
      </c>
      <c r="C150" s="204">
        <v>13</v>
      </c>
      <c r="D150" s="720">
        <v>10.986516</v>
      </c>
      <c r="E150" s="204">
        <v>15</v>
      </c>
      <c r="F150" s="721">
        <v>6.8738159999999997</v>
      </c>
      <c r="G150" s="200">
        <v>27</v>
      </c>
      <c r="H150" s="204">
        <v>14</v>
      </c>
      <c r="I150" s="682">
        <f t="shared" si="47"/>
        <v>12.627768</v>
      </c>
      <c r="J150" s="216">
        <f t="shared" si="48"/>
        <v>13</v>
      </c>
      <c r="K150" s="683">
        <f t="shared" si="46"/>
        <v>64.018439999999998</v>
      </c>
      <c r="L150" s="200">
        <v>27</v>
      </c>
      <c r="M150" s="204">
        <v>14</v>
      </c>
      <c r="N150" s="217">
        <f t="shared" si="49"/>
        <v>12.934200000000001</v>
      </c>
      <c r="O150" s="216">
        <f t="shared" si="50"/>
        <v>13</v>
      </c>
      <c r="P150" s="719">
        <f t="shared" ref="P150:P164" si="51">+K150</f>
        <v>64.018439999999998</v>
      </c>
      <c r="Q150" s="7"/>
      <c r="R150" s="678">
        <v>19029612</v>
      </c>
      <c r="S150" s="678">
        <v>12627768</v>
      </c>
      <c r="T150" s="678"/>
      <c r="U150" s="678">
        <v>12934200</v>
      </c>
      <c r="V150" s="678"/>
      <c r="W150" s="677">
        <f t="shared" si="45"/>
        <v>12934200</v>
      </c>
    </row>
    <row r="151" spans="1:23" ht="14.25">
      <c r="A151" s="14">
        <v>15</v>
      </c>
      <c r="B151" s="200">
        <v>1</v>
      </c>
      <c r="C151" s="204">
        <v>1</v>
      </c>
      <c r="D151" s="720">
        <v>0.80186400000000002</v>
      </c>
      <c r="E151" s="204"/>
      <c r="F151" s="721"/>
      <c r="G151" s="200">
        <v>1</v>
      </c>
      <c r="H151" s="204">
        <v>1</v>
      </c>
      <c r="I151" s="682">
        <f t="shared" si="47"/>
        <v>0.86494800000000005</v>
      </c>
      <c r="J151" s="216"/>
      <c r="K151" s="683">
        <f t="shared" si="46"/>
        <v>0</v>
      </c>
      <c r="L151" s="200">
        <v>1</v>
      </c>
      <c r="M151" s="204">
        <v>1</v>
      </c>
      <c r="N151" s="217">
        <f t="shared" si="49"/>
        <v>0.8841</v>
      </c>
      <c r="O151" s="216"/>
      <c r="P151" s="719">
        <f t="shared" si="51"/>
        <v>0</v>
      </c>
      <c r="Q151" s="7"/>
      <c r="R151" s="678">
        <v>864948</v>
      </c>
      <c r="S151" s="678">
        <f>+R151</f>
        <v>864948</v>
      </c>
      <c r="T151" s="678"/>
      <c r="U151" s="678">
        <v>884100</v>
      </c>
      <c r="V151" s="678"/>
      <c r="W151" s="677">
        <f t="shared" si="45"/>
        <v>884100</v>
      </c>
    </row>
    <row r="152" spans="1:23" ht="14.25">
      <c r="A152" s="22">
        <v>14</v>
      </c>
      <c r="B152" s="201">
        <v>8</v>
      </c>
      <c r="C152" s="204">
        <v>6</v>
      </c>
      <c r="D152" s="720">
        <v>3.6406079999999998</v>
      </c>
      <c r="E152" s="204">
        <v>2</v>
      </c>
      <c r="F152" s="721">
        <v>0.84552000000000005</v>
      </c>
      <c r="G152" s="201">
        <v>9</v>
      </c>
      <c r="H152" s="204">
        <v>7</v>
      </c>
      <c r="I152" s="682">
        <f t="shared" si="47"/>
        <v>4.6516919999999997</v>
      </c>
      <c r="J152" s="216">
        <f t="shared" si="48"/>
        <v>2</v>
      </c>
      <c r="K152" s="683">
        <f t="shared" si="46"/>
        <v>7.1765999999999996</v>
      </c>
      <c r="L152" s="201">
        <v>9</v>
      </c>
      <c r="M152" s="204">
        <v>7</v>
      </c>
      <c r="N152" s="217">
        <f t="shared" si="49"/>
        <v>4.7828280000000003</v>
      </c>
      <c r="O152" s="216">
        <f t="shared" si="50"/>
        <v>2</v>
      </c>
      <c r="P152" s="719">
        <f t="shared" si="51"/>
        <v>7.1765999999999996</v>
      </c>
      <c r="Q152" s="7"/>
      <c r="R152" s="678">
        <v>5369352</v>
      </c>
      <c r="S152" s="678">
        <v>4651692</v>
      </c>
      <c r="T152" s="678"/>
      <c r="U152" s="678">
        <v>4782828</v>
      </c>
      <c r="V152" s="678"/>
      <c r="W152" s="677">
        <f t="shared" si="45"/>
        <v>4782828</v>
      </c>
    </row>
    <row r="153" spans="1:23" ht="14.25">
      <c r="A153" s="22">
        <v>13</v>
      </c>
      <c r="B153" s="201"/>
      <c r="C153" s="204"/>
      <c r="D153" s="720"/>
      <c r="E153" s="204"/>
      <c r="F153" s="721"/>
      <c r="G153" s="201"/>
      <c r="H153" s="204"/>
      <c r="I153" s="682"/>
      <c r="J153" s="216"/>
      <c r="K153" s="683">
        <f t="shared" si="46"/>
        <v>0</v>
      </c>
      <c r="L153" s="201"/>
      <c r="M153" s="204"/>
      <c r="N153" s="217"/>
      <c r="O153" s="216"/>
      <c r="P153" s="719">
        <f t="shared" si="51"/>
        <v>0</v>
      </c>
      <c r="Q153" s="7"/>
      <c r="R153" s="678"/>
      <c r="S153" s="678"/>
      <c r="T153" s="678"/>
      <c r="V153" s="678"/>
      <c r="W153" s="677">
        <f>SUM(U154-V153)</f>
        <v>2121672</v>
      </c>
    </row>
    <row r="154" spans="1:23" ht="14.25">
      <c r="A154" s="22">
        <v>12</v>
      </c>
      <c r="B154" s="201">
        <v>4</v>
      </c>
      <c r="C154" s="204">
        <v>4</v>
      </c>
      <c r="D154" s="720">
        <v>2.553696</v>
      </c>
      <c r="E154" s="204"/>
      <c r="F154" s="721"/>
      <c r="G154" s="201">
        <v>3</v>
      </c>
      <c r="H154" s="204">
        <v>3</v>
      </c>
      <c r="I154" s="682">
        <f t="shared" ref="I154:I155" si="52">SUM(S154/1000000)</f>
        <v>2.0766239999999998</v>
      </c>
      <c r="J154" s="216"/>
      <c r="K154" s="683">
        <f t="shared" si="46"/>
        <v>0</v>
      </c>
      <c r="L154" s="201">
        <v>3</v>
      </c>
      <c r="M154" s="204">
        <v>3</v>
      </c>
      <c r="N154" s="217">
        <f t="shared" si="49"/>
        <v>2.1216719999999998</v>
      </c>
      <c r="O154" s="216"/>
      <c r="P154" s="719">
        <f t="shared" si="51"/>
        <v>0</v>
      </c>
      <c r="Q154" s="7"/>
      <c r="R154" s="678">
        <v>2076624</v>
      </c>
      <c r="S154" s="678">
        <f>+R154</f>
        <v>2076624</v>
      </c>
      <c r="T154" s="678"/>
      <c r="U154" s="678">
        <v>2121672</v>
      </c>
      <c r="V154" s="678"/>
      <c r="W154" s="677">
        <f>SUM(U155-V154)</f>
        <v>2691672</v>
      </c>
    </row>
    <row r="155" spans="1:23" ht="14.25">
      <c r="A155" s="22">
        <v>11</v>
      </c>
      <c r="B155" s="201">
        <v>6</v>
      </c>
      <c r="C155" s="204">
        <v>4</v>
      </c>
      <c r="D155" s="720">
        <v>1.8986879999999999</v>
      </c>
      <c r="E155" s="204">
        <v>2</v>
      </c>
      <c r="F155" s="721">
        <v>0.58620000000000005</v>
      </c>
      <c r="G155" s="201">
        <v>9</v>
      </c>
      <c r="H155" s="204">
        <v>5</v>
      </c>
      <c r="I155" s="682">
        <f t="shared" si="52"/>
        <v>2.6098319999999999</v>
      </c>
      <c r="J155" s="216">
        <f t="shared" si="48"/>
        <v>4</v>
      </c>
      <c r="K155" s="683">
        <f t="shared" si="46"/>
        <v>12.105119999999999</v>
      </c>
      <c r="L155" s="201">
        <v>9</v>
      </c>
      <c r="M155" s="204">
        <v>5</v>
      </c>
      <c r="N155" s="217">
        <f t="shared" si="49"/>
        <v>2.6916720000000001</v>
      </c>
      <c r="O155" s="216">
        <f t="shared" si="50"/>
        <v>4</v>
      </c>
      <c r="P155" s="719">
        <f t="shared" si="51"/>
        <v>12.105119999999999</v>
      </c>
      <c r="Q155" s="7"/>
      <c r="R155" s="678">
        <v>3820344</v>
      </c>
      <c r="S155" s="678">
        <v>2609832</v>
      </c>
      <c r="T155" s="678"/>
      <c r="U155" s="678">
        <v>2691672</v>
      </c>
      <c r="V155" s="678"/>
      <c r="W155" s="677" t="e">
        <f>SUM(#REF!-V155)</f>
        <v>#REF!</v>
      </c>
    </row>
    <row r="156" spans="1:23" ht="14.25">
      <c r="A156" s="22">
        <v>10</v>
      </c>
      <c r="B156" s="201"/>
      <c r="C156" s="204"/>
      <c r="D156" s="720"/>
      <c r="E156" s="204"/>
      <c r="F156" s="721"/>
      <c r="G156" s="201"/>
      <c r="H156" s="204"/>
      <c r="I156" s="682"/>
      <c r="J156" s="216"/>
      <c r="K156" s="683">
        <f t="shared" si="46"/>
        <v>0</v>
      </c>
      <c r="L156" s="201"/>
      <c r="M156" s="204"/>
      <c r="N156" s="217"/>
      <c r="O156" s="216"/>
      <c r="P156" s="719">
        <f t="shared" si="51"/>
        <v>0</v>
      </c>
      <c r="Q156" s="7"/>
      <c r="R156" s="678"/>
      <c r="S156" s="678"/>
      <c r="T156" s="678"/>
      <c r="U156" s="678"/>
      <c r="V156" s="678"/>
      <c r="W156" s="677">
        <f t="shared" si="45"/>
        <v>0</v>
      </c>
    </row>
    <row r="157" spans="1:23" ht="14.25">
      <c r="A157" s="22">
        <v>9</v>
      </c>
      <c r="B157" s="201"/>
      <c r="C157" s="204"/>
      <c r="D157" s="720"/>
      <c r="E157" s="204"/>
      <c r="F157" s="721"/>
      <c r="G157" s="201"/>
      <c r="H157" s="204"/>
      <c r="I157" s="682"/>
      <c r="J157" s="216"/>
      <c r="K157" s="683">
        <f t="shared" si="46"/>
        <v>0</v>
      </c>
      <c r="L157" s="201"/>
      <c r="M157" s="204"/>
      <c r="N157" s="217"/>
      <c r="O157" s="216"/>
      <c r="P157" s="719">
        <f t="shared" si="51"/>
        <v>0</v>
      </c>
      <c r="Q157" s="7"/>
      <c r="R157" s="678"/>
      <c r="S157" s="678"/>
      <c r="T157" s="678"/>
      <c r="U157" s="678"/>
      <c r="V157" s="678"/>
      <c r="W157" s="677">
        <f t="shared" si="45"/>
        <v>0</v>
      </c>
    </row>
    <row r="158" spans="1:23" ht="14.25">
      <c r="A158" s="22">
        <v>8</v>
      </c>
      <c r="B158" s="201">
        <v>11</v>
      </c>
      <c r="C158" s="204">
        <v>11</v>
      </c>
      <c r="D158" s="720">
        <v>4.3580399999999999</v>
      </c>
      <c r="E158" s="204"/>
      <c r="F158" s="721"/>
      <c r="G158" s="201">
        <v>11</v>
      </c>
      <c r="H158" s="204">
        <v>11</v>
      </c>
      <c r="I158" s="682">
        <f t="shared" ref="I158:I162" si="53">SUM(S158/1000000)</f>
        <v>4.7244840000000003</v>
      </c>
      <c r="J158" s="216"/>
      <c r="K158" s="683">
        <f t="shared" si="46"/>
        <v>0</v>
      </c>
      <c r="L158" s="201">
        <v>11</v>
      </c>
      <c r="M158" s="204">
        <v>11</v>
      </c>
      <c r="N158" s="217">
        <f t="shared" si="49"/>
        <v>4.8615839999999997</v>
      </c>
      <c r="O158" s="216"/>
      <c r="P158" s="719">
        <f t="shared" si="51"/>
        <v>0</v>
      </c>
      <c r="Q158" s="7"/>
      <c r="R158" s="678">
        <v>4724484</v>
      </c>
      <c r="S158" s="678">
        <f>+R158</f>
        <v>4724484</v>
      </c>
      <c r="T158" s="678"/>
      <c r="U158" s="678">
        <v>4861584</v>
      </c>
      <c r="V158" s="678"/>
      <c r="W158" s="677">
        <f t="shared" si="45"/>
        <v>4861584</v>
      </c>
    </row>
    <row r="159" spans="1:23" ht="14.25">
      <c r="A159" s="22">
        <v>7</v>
      </c>
      <c r="B159" s="201">
        <v>18</v>
      </c>
      <c r="C159" s="204">
        <v>12</v>
      </c>
      <c r="D159" s="720">
        <v>4.83108</v>
      </c>
      <c r="E159" s="204">
        <v>6</v>
      </c>
      <c r="F159" s="721">
        <v>1.4891760000000001</v>
      </c>
      <c r="G159" s="201">
        <v>18</v>
      </c>
      <c r="H159" s="204">
        <v>12</v>
      </c>
      <c r="I159" s="682">
        <f t="shared" si="53"/>
        <v>5.3092079999999999</v>
      </c>
      <c r="J159" s="216">
        <f t="shared" si="48"/>
        <v>6</v>
      </c>
      <c r="K159" s="683">
        <f t="shared" si="46"/>
        <v>16.25544</v>
      </c>
      <c r="L159" s="201">
        <v>18</v>
      </c>
      <c r="M159" s="204">
        <v>12</v>
      </c>
      <c r="N159" s="217">
        <f t="shared" si="49"/>
        <v>5.4400919999999999</v>
      </c>
      <c r="O159" s="216">
        <f t="shared" si="50"/>
        <v>6</v>
      </c>
      <c r="P159" s="719">
        <f t="shared" si="51"/>
        <v>16.25544</v>
      </c>
      <c r="Q159" s="7"/>
      <c r="R159" s="678">
        <v>6934752</v>
      </c>
      <c r="S159" s="678">
        <v>5309208</v>
      </c>
      <c r="T159" s="678"/>
      <c r="U159" s="678">
        <v>5440092</v>
      </c>
      <c r="V159" s="678"/>
      <c r="W159" s="677">
        <f t="shared" si="45"/>
        <v>5440092</v>
      </c>
    </row>
    <row r="160" spans="1:23" ht="14.25">
      <c r="A160" s="22">
        <v>6</v>
      </c>
      <c r="B160" s="201">
        <v>3</v>
      </c>
      <c r="C160" s="204">
        <v>3</v>
      </c>
      <c r="D160" s="720">
        <v>1.270932</v>
      </c>
      <c r="E160" s="204"/>
      <c r="F160" s="721"/>
      <c r="G160" s="201">
        <v>3</v>
      </c>
      <c r="H160" s="204">
        <v>3</v>
      </c>
      <c r="I160" s="682">
        <f t="shared" si="53"/>
        <v>1.3693200000000001</v>
      </c>
      <c r="J160" s="216"/>
      <c r="K160" s="683">
        <f t="shared" si="46"/>
        <v>0</v>
      </c>
      <c r="L160" s="201">
        <v>3</v>
      </c>
      <c r="M160" s="204">
        <v>3</v>
      </c>
      <c r="N160" s="217">
        <f t="shared" si="49"/>
        <v>1.400568</v>
      </c>
      <c r="O160" s="216"/>
      <c r="P160" s="719">
        <f t="shared" si="51"/>
        <v>0</v>
      </c>
      <c r="Q160" s="7"/>
      <c r="R160" s="678">
        <v>1369320</v>
      </c>
      <c r="S160" s="678">
        <f>+R160</f>
        <v>1369320</v>
      </c>
      <c r="T160" s="678"/>
      <c r="U160" s="678">
        <v>1400568</v>
      </c>
      <c r="V160" s="678"/>
      <c r="W160" s="677">
        <f t="shared" si="45"/>
        <v>1400568</v>
      </c>
    </row>
    <row r="161" spans="1:23" ht="14.25">
      <c r="A161" s="22">
        <v>5</v>
      </c>
      <c r="B161" s="201">
        <v>4</v>
      </c>
      <c r="C161" s="204">
        <v>4</v>
      </c>
      <c r="D161" s="720">
        <v>1.417608</v>
      </c>
      <c r="E161" s="204"/>
      <c r="F161" s="721"/>
      <c r="G161" s="201">
        <v>4</v>
      </c>
      <c r="H161" s="204">
        <v>4</v>
      </c>
      <c r="I161" s="682">
        <f t="shared" si="53"/>
        <v>1.5273479999999999</v>
      </c>
      <c r="J161" s="216"/>
      <c r="K161" s="683">
        <f t="shared" si="46"/>
        <v>0</v>
      </c>
      <c r="L161" s="201">
        <v>4</v>
      </c>
      <c r="M161" s="204">
        <v>4</v>
      </c>
      <c r="N161" s="217">
        <f t="shared" si="49"/>
        <v>1.564548</v>
      </c>
      <c r="O161" s="216"/>
      <c r="P161" s="719">
        <f t="shared" si="51"/>
        <v>0</v>
      </c>
      <c r="Q161" s="7"/>
      <c r="R161" s="678">
        <v>1527348</v>
      </c>
      <c r="S161" s="678">
        <f>+R161</f>
        <v>1527348</v>
      </c>
      <c r="T161" s="678"/>
      <c r="U161" s="678">
        <v>1564548</v>
      </c>
      <c r="V161" s="678"/>
      <c r="W161" s="677">
        <f t="shared" si="45"/>
        <v>1564548</v>
      </c>
    </row>
    <row r="162" spans="1:23" ht="14.25">
      <c r="A162" s="22">
        <v>4</v>
      </c>
      <c r="B162" s="201">
        <v>24</v>
      </c>
      <c r="C162" s="204">
        <v>24</v>
      </c>
      <c r="D162" s="720">
        <v>6.9742439999999997</v>
      </c>
      <c r="E162" s="204"/>
      <c r="F162" s="721"/>
      <c r="G162" s="201">
        <v>25</v>
      </c>
      <c r="H162" s="204">
        <v>25</v>
      </c>
      <c r="I162" s="682">
        <f t="shared" si="53"/>
        <v>7.9805039999999998</v>
      </c>
      <c r="J162" s="216"/>
      <c r="K162" s="683">
        <f t="shared" si="46"/>
        <v>0</v>
      </c>
      <c r="L162" s="201">
        <v>25</v>
      </c>
      <c r="M162" s="204">
        <v>25</v>
      </c>
      <c r="N162" s="217">
        <f t="shared" si="49"/>
        <v>8.1851040000000008</v>
      </c>
      <c r="O162" s="216"/>
      <c r="P162" s="719">
        <f t="shared" si="51"/>
        <v>0</v>
      </c>
      <c r="Q162" s="7"/>
      <c r="R162" s="678">
        <v>7980504</v>
      </c>
      <c r="S162" s="678">
        <f>+R162</f>
        <v>7980504</v>
      </c>
      <c r="T162" s="678"/>
      <c r="U162" s="678">
        <v>8185104</v>
      </c>
      <c r="V162" s="678"/>
      <c r="W162" s="677">
        <f t="shared" si="45"/>
        <v>8185104</v>
      </c>
    </row>
    <row r="163" spans="1:23" ht="14.25">
      <c r="A163" s="22">
        <v>3</v>
      </c>
      <c r="B163" s="201">
        <v>1</v>
      </c>
      <c r="C163" s="204"/>
      <c r="D163" s="720"/>
      <c r="E163" s="204">
        <v>1</v>
      </c>
      <c r="F163" s="721">
        <v>0.216528</v>
      </c>
      <c r="G163" s="201"/>
      <c r="H163" s="204"/>
      <c r="I163" s="682"/>
      <c r="J163" s="216"/>
      <c r="K163" s="683">
        <f t="shared" si="46"/>
        <v>2.3589600000000002</v>
      </c>
      <c r="L163" s="201"/>
      <c r="M163" s="204"/>
      <c r="N163" s="217"/>
      <c r="O163" s="216"/>
      <c r="P163" s="719">
        <f t="shared" si="51"/>
        <v>2.3589600000000002</v>
      </c>
      <c r="Q163" s="7"/>
      <c r="R163" s="678">
        <v>235896</v>
      </c>
      <c r="S163" s="678"/>
      <c r="T163" s="678"/>
      <c r="U163" s="678"/>
      <c r="V163" s="678"/>
      <c r="W163" s="677">
        <f t="shared" si="45"/>
        <v>0</v>
      </c>
    </row>
    <row r="164" spans="1:23" ht="14.25">
      <c r="A164" s="22">
        <v>2</v>
      </c>
      <c r="B164" s="201"/>
      <c r="C164" s="204"/>
      <c r="D164" s="720"/>
      <c r="E164" s="204"/>
      <c r="F164" s="721"/>
      <c r="G164" s="201">
        <v>1</v>
      </c>
      <c r="H164" s="204"/>
      <c r="I164" s="682"/>
      <c r="J164" s="216">
        <f t="shared" si="48"/>
        <v>1</v>
      </c>
      <c r="K164" s="683">
        <f t="shared" si="46"/>
        <v>0</v>
      </c>
      <c r="L164" s="201">
        <v>1</v>
      </c>
      <c r="M164" s="204"/>
      <c r="N164" s="217"/>
      <c r="O164" s="216">
        <f t="shared" si="50"/>
        <v>1</v>
      </c>
      <c r="P164" s="719">
        <f t="shared" si="51"/>
        <v>0</v>
      </c>
      <c r="Q164" s="7"/>
      <c r="R164" s="678"/>
      <c r="S164" s="678"/>
      <c r="T164" s="678"/>
      <c r="U164" s="678"/>
      <c r="V164" s="678"/>
      <c r="W164" s="677">
        <f t="shared" si="45"/>
        <v>0</v>
      </c>
    </row>
    <row r="165" spans="1:23">
      <c r="A165" s="22">
        <v>1</v>
      </c>
      <c r="B165" s="201"/>
      <c r="C165" s="204"/>
      <c r="D165" s="720"/>
      <c r="E165" s="204"/>
      <c r="F165" s="721"/>
      <c r="G165" s="722"/>
      <c r="H165" s="204"/>
      <c r="I165" s="723"/>
      <c r="J165" s="216"/>
      <c r="K165" s="724"/>
      <c r="L165" s="201"/>
      <c r="M165" s="204"/>
      <c r="N165" s="720"/>
      <c r="O165" s="216"/>
      <c r="P165" s="721"/>
      <c r="Q165" s="7"/>
      <c r="R165" s="678"/>
      <c r="S165" s="678"/>
      <c r="T165" s="678"/>
      <c r="U165" s="678"/>
      <c r="V165" s="678"/>
      <c r="W165" s="677">
        <f t="shared" si="45"/>
        <v>0</v>
      </c>
    </row>
    <row r="166" spans="1:23">
      <c r="A166" s="339" t="s">
        <v>138</v>
      </c>
      <c r="B166" s="340">
        <f>SUM(B144:B165)</f>
        <v>117</v>
      </c>
      <c r="C166" s="340">
        <f t="shared" ref="C166:P166" si="54">SUM(C144:C165)</f>
        <v>89</v>
      </c>
      <c r="D166" s="341">
        <f t="shared" si="54"/>
        <v>47.099111999999998</v>
      </c>
      <c r="E166" s="340">
        <f t="shared" si="54"/>
        <v>28</v>
      </c>
      <c r="F166" s="341">
        <f t="shared" si="54"/>
        <v>11.473968000000001</v>
      </c>
      <c r="G166" s="340">
        <f t="shared" si="54"/>
        <v>120</v>
      </c>
      <c r="H166" s="340">
        <f t="shared" si="54"/>
        <v>90</v>
      </c>
      <c r="I166" s="341">
        <f t="shared" si="54"/>
        <v>50.36636399999999</v>
      </c>
      <c r="J166" s="340">
        <f t="shared" si="54"/>
        <v>30</v>
      </c>
      <c r="K166" s="341">
        <f t="shared" si="54"/>
        <v>128.3724</v>
      </c>
      <c r="L166" s="340">
        <f t="shared" si="54"/>
        <v>120</v>
      </c>
      <c r="M166" s="340">
        <f t="shared" si="54"/>
        <v>90</v>
      </c>
      <c r="N166" s="341">
        <f t="shared" si="54"/>
        <v>51.673020000000008</v>
      </c>
      <c r="O166" s="340">
        <f t="shared" si="54"/>
        <v>30</v>
      </c>
      <c r="P166" s="712">
        <f t="shared" si="54"/>
        <v>128.3724</v>
      </c>
    </row>
    <row r="167" spans="1:23" ht="18">
      <c r="A167" s="1429" t="s">
        <v>1290</v>
      </c>
      <c r="B167" s="1429"/>
      <c r="C167" s="1429"/>
      <c r="D167" s="1429"/>
      <c r="E167" s="1429"/>
      <c r="F167" s="1429"/>
      <c r="G167" s="1429"/>
      <c r="H167" s="1429"/>
      <c r="I167" s="1429"/>
      <c r="J167" s="1429"/>
      <c r="K167" s="1429"/>
      <c r="L167" s="1429"/>
      <c r="M167" s="1429"/>
      <c r="N167" s="1429"/>
      <c r="O167" s="1429"/>
      <c r="P167" s="1429"/>
      <c r="Q167" s="7"/>
      <c r="R167" s="678"/>
      <c r="S167" s="678"/>
      <c r="T167" s="678"/>
      <c r="U167" s="678"/>
      <c r="V167" s="678"/>
      <c r="W167" s="7"/>
    </row>
    <row r="168" spans="1:23">
      <c r="A168" s="1434" t="s">
        <v>873</v>
      </c>
      <c r="B168" s="1437" t="str">
        <f>+$B$6</f>
        <v>Status during last FY 2017-18</v>
      </c>
      <c r="C168" s="1438"/>
      <c r="D168" s="1438"/>
      <c r="E168" s="1438"/>
      <c r="F168" s="1439"/>
      <c r="G168" s="1437" t="str">
        <f>+$G$6</f>
        <v>Status during current FY 2018-19</v>
      </c>
      <c r="H168" s="1438"/>
      <c r="I168" s="1438"/>
      <c r="J168" s="1438"/>
      <c r="K168" s="1439"/>
      <c r="L168" s="1437" t="str">
        <f>+$L$6</f>
        <v>Planned for next FY 2019-20</v>
      </c>
      <c r="M168" s="1438"/>
      <c r="N168" s="1438"/>
      <c r="O168" s="1438"/>
      <c r="P168" s="1439"/>
      <c r="Q168" s="7"/>
      <c r="R168" s="678"/>
      <c r="S168" s="678"/>
      <c r="T168" s="678"/>
      <c r="U168" s="678"/>
      <c r="V168" s="678"/>
      <c r="W168" s="7"/>
    </row>
    <row r="169" spans="1:23">
      <c r="A169" s="1435"/>
      <c r="B169" s="1431" t="s">
        <v>872</v>
      </c>
      <c r="C169" s="1411" t="s">
        <v>134</v>
      </c>
      <c r="D169" s="1411"/>
      <c r="E169" s="1412" t="s">
        <v>135</v>
      </c>
      <c r="F169" s="1413"/>
      <c r="G169" s="1431" t="s">
        <v>869</v>
      </c>
      <c r="H169" s="1411" t="s">
        <v>134</v>
      </c>
      <c r="I169" s="1411"/>
      <c r="J169" s="1412" t="s">
        <v>135</v>
      </c>
      <c r="K169" s="1413"/>
      <c r="L169" s="1431" t="s">
        <v>869</v>
      </c>
      <c r="M169" s="1411" t="s">
        <v>134</v>
      </c>
      <c r="N169" s="1411"/>
      <c r="O169" s="1412" t="s">
        <v>135</v>
      </c>
      <c r="P169" s="1413"/>
      <c r="Q169" s="7"/>
      <c r="R169" s="1433" t="s">
        <v>1310</v>
      </c>
      <c r="S169" s="1433"/>
      <c r="T169" s="1433"/>
      <c r="U169" s="1430" t="s">
        <v>1311</v>
      </c>
      <c r="V169" s="1430"/>
      <c r="W169" s="1430"/>
    </row>
    <row r="170" spans="1:23" ht="42.75">
      <c r="A170" s="1436"/>
      <c r="B170" s="1432"/>
      <c r="C170" s="199" t="s">
        <v>153</v>
      </c>
      <c r="D170" s="665" t="s">
        <v>868</v>
      </c>
      <c r="E170" s="199" t="s">
        <v>153</v>
      </c>
      <c r="F170" s="666" t="s">
        <v>868</v>
      </c>
      <c r="G170" s="1432"/>
      <c r="H170" s="199" t="s">
        <v>153</v>
      </c>
      <c r="I170" s="665" t="s">
        <v>868</v>
      </c>
      <c r="J170" s="199" t="s">
        <v>153</v>
      </c>
      <c r="K170" s="666" t="s">
        <v>868</v>
      </c>
      <c r="L170" s="1432"/>
      <c r="M170" s="199" t="s">
        <v>153</v>
      </c>
      <c r="N170" s="665" t="s">
        <v>868</v>
      </c>
      <c r="O170" s="199" t="s">
        <v>153</v>
      </c>
      <c r="P170" s="666" t="s">
        <v>868</v>
      </c>
      <c r="Q170" s="7"/>
      <c r="R170" s="714" t="s">
        <v>1313</v>
      </c>
      <c r="S170" s="715" t="s">
        <v>1314</v>
      </c>
      <c r="T170" s="714"/>
      <c r="U170" s="714" t="s">
        <v>1313</v>
      </c>
      <c r="V170" s="715" t="s">
        <v>1314</v>
      </c>
      <c r="W170" s="309"/>
    </row>
    <row r="171" spans="1:23" ht="14.25">
      <c r="A171" s="708">
        <v>22</v>
      </c>
      <c r="B171" s="716"/>
      <c r="C171" s="717"/>
      <c r="D171" s="213"/>
      <c r="E171" s="717"/>
      <c r="F171" s="214"/>
      <c r="G171" s="716"/>
      <c r="H171" s="717"/>
      <c r="I171" s="675"/>
      <c r="J171" s="717"/>
      <c r="K171" s="674"/>
      <c r="L171" s="716"/>
      <c r="M171" s="717"/>
      <c r="N171" s="213"/>
      <c r="O171" s="717"/>
      <c r="P171" s="718"/>
      <c r="Q171" s="7"/>
      <c r="R171" s="678"/>
      <c r="S171" s="678"/>
      <c r="T171" s="678"/>
      <c r="U171" s="678"/>
      <c r="V171" s="678"/>
      <c r="W171" s="677">
        <f t="shared" ref="W171:W192" si="55">SUM(U171-V171)</f>
        <v>0</v>
      </c>
    </row>
    <row r="172" spans="1:23" ht="14.25">
      <c r="A172" s="14">
        <v>21</v>
      </c>
      <c r="B172" s="215"/>
      <c r="C172" s="216"/>
      <c r="D172" s="217"/>
      <c r="E172" s="216"/>
      <c r="F172" s="218"/>
      <c r="G172" s="215"/>
      <c r="H172" s="216"/>
      <c r="I172" s="682"/>
      <c r="J172" s="216"/>
      <c r="K172" s="683"/>
      <c r="L172" s="215"/>
      <c r="M172" s="216"/>
      <c r="N172" s="217"/>
      <c r="O172" s="216"/>
      <c r="P172" s="719"/>
      <c r="Q172" s="7"/>
      <c r="R172" s="678"/>
      <c r="S172" s="678"/>
      <c r="T172" s="678"/>
      <c r="U172" s="678"/>
      <c r="V172" s="678"/>
      <c r="W172" s="677">
        <f t="shared" si="55"/>
        <v>0</v>
      </c>
    </row>
    <row r="173" spans="1:23" ht="14.25">
      <c r="A173" s="14">
        <v>20</v>
      </c>
      <c r="B173" s="215"/>
      <c r="C173" s="216"/>
      <c r="D173" s="217"/>
      <c r="E173" s="216"/>
      <c r="F173" s="218"/>
      <c r="G173" s="215"/>
      <c r="H173" s="216"/>
      <c r="I173" s="682"/>
      <c r="J173" s="216"/>
      <c r="K173" s="683"/>
      <c r="L173" s="215"/>
      <c r="M173" s="216"/>
      <c r="N173" s="217"/>
      <c r="O173" s="216"/>
      <c r="P173" s="719"/>
      <c r="Q173" s="7"/>
      <c r="R173" s="678"/>
      <c r="S173" s="678"/>
      <c r="T173" s="678"/>
      <c r="U173" s="678"/>
      <c r="V173" s="678"/>
      <c r="W173" s="677">
        <f t="shared" si="55"/>
        <v>0</v>
      </c>
    </row>
    <row r="174" spans="1:23" ht="14.25">
      <c r="A174" s="710">
        <v>19</v>
      </c>
      <c r="B174" s="215">
        <v>1</v>
      </c>
      <c r="C174" s="216"/>
      <c r="D174" s="217"/>
      <c r="E174" s="216">
        <v>1</v>
      </c>
      <c r="F174" s="218">
        <v>1.1312279999999999</v>
      </c>
      <c r="G174" s="215">
        <v>1</v>
      </c>
      <c r="H174" s="216"/>
      <c r="I174" s="682"/>
      <c r="J174" s="216">
        <f t="shared" ref="J174:J191" si="56">SUM(G174-H174)</f>
        <v>1</v>
      </c>
      <c r="K174" s="683">
        <f t="shared" ref="K174:K191" si="57">SUM(R174-S174)/100000</f>
        <v>12.55416</v>
      </c>
      <c r="L174" s="215">
        <v>1</v>
      </c>
      <c r="M174" s="216"/>
      <c r="N174" s="682">
        <f t="shared" ref="N174:N191" si="58">SUM(U174/1000000)</f>
        <v>0</v>
      </c>
      <c r="O174" s="216">
        <f t="shared" ref="O174:O191" si="59">SUM(L174-M174)</f>
        <v>1</v>
      </c>
      <c r="P174" s="719">
        <f>+K174</f>
        <v>12.55416</v>
      </c>
      <c r="Q174" s="7"/>
      <c r="R174" s="678">
        <v>1255416</v>
      </c>
      <c r="T174" s="678"/>
      <c r="U174" s="678"/>
      <c r="V174" s="678"/>
      <c r="W174" s="677">
        <f t="shared" si="55"/>
        <v>0</v>
      </c>
    </row>
    <row r="175" spans="1:23" ht="14.25">
      <c r="A175" s="14">
        <v>18</v>
      </c>
      <c r="B175" s="215">
        <v>1</v>
      </c>
      <c r="C175" s="216">
        <v>1</v>
      </c>
      <c r="D175" s="217">
        <v>1.1219159999999999</v>
      </c>
      <c r="E175" s="216"/>
      <c r="F175" s="218"/>
      <c r="G175" s="215">
        <v>1</v>
      </c>
      <c r="H175" s="216">
        <v>1</v>
      </c>
      <c r="I175" s="682">
        <f>SUM(S175/1000000)</f>
        <v>1.207308</v>
      </c>
      <c r="J175" s="216"/>
      <c r="K175" s="683">
        <f t="shared" si="57"/>
        <v>0</v>
      </c>
      <c r="L175" s="215">
        <v>1</v>
      </c>
      <c r="M175" s="216">
        <v>1</v>
      </c>
      <c r="N175" s="682">
        <f t="shared" si="58"/>
        <v>1.2486360000000001</v>
      </c>
      <c r="O175" s="216"/>
      <c r="P175" s="719">
        <f>+K175</f>
        <v>0</v>
      </c>
      <c r="Q175" s="7"/>
      <c r="R175" s="678">
        <v>1207308</v>
      </c>
      <c r="S175" s="678">
        <v>1207308</v>
      </c>
      <c r="T175" s="678"/>
      <c r="U175" s="656">
        <v>1248636</v>
      </c>
      <c r="V175" s="678"/>
      <c r="W175" s="677">
        <f>SUM(U122-V175)</f>
        <v>6801756</v>
      </c>
    </row>
    <row r="176" spans="1:23" ht="14.25">
      <c r="A176" s="14">
        <v>17</v>
      </c>
      <c r="B176" s="215">
        <v>6</v>
      </c>
      <c r="C176" s="216">
        <v>3</v>
      </c>
      <c r="D176" s="217">
        <v>2.6816759999999999</v>
      </c>
      <c r="E176" s="216">
        <v>3</v>
      </c>
      <c r="F176" s="218">
        <v>1.9747440000000001</v>
      </c>
      <c r="G176" s="215">
        <v>7</v>
      </c>
      <c r="H176" s="216">
        <v>4</v>
      </c>
      <c r="I176" s="682">
        <f t="shared" ref="I176:I179" si="60">SUM(S176/1000000)</f>
        <v>3.9655800000000001</v>
      </c>
      <c r="J176" s="216">
        <f t="shared" si="56"/>
        <v>3</v>
      </c>
      <c r="K176" s="683">
        <f t="shared" si="57"/>
        <v>21.63888</v>
      </c>
      <c r="L176" s="215">
        <v>7</v>
      </c>
      <c r="M176" s="216">
        <v>4</v>
      </c>
      <c r="N176" s="682">
        <f t="shared" si="58"/>
        <v>4.0980600000000003</v>
      </c>
      <c r="O176" s="216">
        <f t="shared" si="59"/>
        <v>3</v>
      </c>
      <c r="P176" s="719">
        <f>+K176</f>
        <v>21.63888</v>
      </c>
      <c r="Q176" s="7"/>
      <c r="R176" s="678">
        <v>6129468</v>
      </c>
      <c r="S176" s="678">
        <v>3965580</v>
      </c>
      <c r="T176" s="678"/>
      <c r="U176" s="656">
        <v>4098060</v>
      </c>
      <c r="V176" s="678"/>
      <c r="W176" s="677">
        <f>SUM(U123-V176)</f>
        <v>29452560</v>
      </c>
    </row>
    <row r="177" spans="1:23" ht="14.25">
      <c r="A177" s="14">
        <v>16</v>
      </c>
      <c r="B177" s="200">
        <v>24</v>
      </c>
      <c r="C177" s="204">
        <v>18</v>
      </c>
      <c r="D177" s="720">
        <v>14.789975999999999</v>
      </c>
      <c r="E177" s="204">
        <v>6</v>
      </c>
      <c r="F177" s="721">
        <v>2.6995680000000002</v>
      </c>
      <c r="G177" s="200">
        <v>26</v>
      </c>
      <c r="H177" s="204">
        <v>20</v>
      </c>
      <c r="I177" s="682">
        <f t="shared" si="60"/>
        <v>17.340527999999999</v>
      </c>
      <c r="J177" s="216">
        <f t="shared" si="56"/>
        <v>6</v>
      </c>
      <c r="K177" s="683">
        <f t="shared" si="57"/>
        <v>29.339279999999999</v>
      </c>
      <c r="L177" s="200">
        <v>26</v>
      </c>
      <c r="M177" s="204">
        <v>20</v>
      </c>
      <c r="N177" s="682">
        <f t="shared" si="58"/>
        <v>17.778288</v>
      </c>
      <c r="O177" s="216">
        <f t="shared" si="59"/>
        <v>6</v>
      </c>
      <c r="P177" s="719">
        <f t="shared" ref="P177:P191" si="61">+K177</f>
        <v>29.339279999999999</v>
      </c>
      <c r="Q177" s="7"/>
      <c r="R177" s="678">
        <v>20274456</v>
      </c>
      <c r="S177" s="678">
        <v>17340528</v>
      </c>
      <c r="T177" s="678"/>
      <c r="U177" s="656">
        <v>17778288</v>
      </c>
      <c r="V177" s="678"/>
      <c r="W177" s="677">
        <f>SUM(U124-V177)</f>
        <v>2865036</v>
      </c>
    </row>
    <row r="178" spans="1:23" ht="14.25">
      <c r="A178" s="14">
        <v>15</v>
      </c>
      <c r="B178" s="200">
        <v>7</v>
      </c>
      <c r="C178" s="204">
        <v>7</v>
      </c>
      <c r="D178" s="720">
        <v>4.972092</v>
      </c>
      <c r="E178" s="204"/>
      <c r="F178" s="721"/>
      <c r="G178" s="200">
        <v>4</v>
      </c>
      <c r="H178" s="204">
        <v>4</v>
      </c>
      <c r="I178" s="682">
        <f t="shared" si="60"/>
        <v>3.187548</v>
      </c>
      <c r="J178" s="216"/>
      <c r="K178" s="683">
        <f t="shared" si="57"/>
        <v>0</v>
      </c>
      <c r="L178" s="200">
        <v>4</v>
      </c>
      <c r="M178" s="204">
        <v>4</v>
      </c>
      <c r="N178" s="682">
        <f t="shared" si="58"/>
        <v>3.2641559999999998</v>
      </c>
      <c r="O178" s="216"/>
      <c r="P178" s="719">
        <f t="shared" si="61"/>
        <v>0</v>
      </c>
      <c r="Q178" s="7"/>
      <c r="R178" s="678">
        <v>3187548</v>
      </c>
      <c r="S178" s="678">
        <f>+R178</f>
        <v>3187548</v>
      </c>
      <c r="T178" s="678"/>
      <c r="U178" s="656">
        <v>3264156</v>
      </c>
      <c r="V178" s="678"/>
      <c r="W178" s="677">
        <f>SUM(U125-V178)</f>
        <v>4697352</v>
      </c>
    </row>
    <row r="179" spans="1:23" ht="14.25">
      <c r="A179" s="22">
        <v>14</v>
      </c>
      <c r="B179" s="201">
        <v>5</v>
      </c>
      <c r="C179" s="204">
        <v>5</v>
      </c>
      <c r="D179" s="720">
        <v>3.3799920000000001</v>
      </c>
      <c r="E179" s="204"/>
      <c r="F179" s="721"/>
      <c r="G179" s="201">
        <v>6</v>
      </c>
      <c r="H179" s="204">
        <v>6</v>
      </c>
      <c r="I179" s="682">
        <f t="shared" si="60"/>
        <v>4.2938159999999996</v>
      </c>
      <c r="J179" s="216"/>
      <c r="K179" s="683">
        <f t="shared" si="57"/>
        <v>0</v>
      </c>
      <c r="L179" s="201">
        <v>6</v>
      </c>
      <c r="M179" s="204">
        <v>6</v>
      </c>
      <c r="N179" s="682">
        <f t="shared" si="58"/>
        <v>4.4096279999999997</v>
      </c>
      <c r="O179" s="216"/>
      <c r="P179" s="719">
        <f t="shared" si="61"/>
        <v>0</v>
      </c>
      <c r="Q179" s="7"/>
      <c r="R179" s="678">
        <v>4293816</v>
      </c>
      <c r="S179" s="678">
        <f>+R179</f>
        <v>4293816</v>
      </c>
      <c r="T179" s="678"/>
      <c r="U179" s="656">
        <v>4409628</v>
      </c>
      <c r="V179" s="678"/>
      <c r="W179" s="677">
        <f>SUM(U127-V179)</f>
        <v>5620236</v>
      </c>
    </row>
    <row r="180" spans="1:23" ht="14.25">
      <c r="A180" s="22">
        <v>13</v>
      </c>
      <c r="B180" s="201"/>
      <c r="C180" s="204"/>
      <c r="D180" s="720"/>
      <c r="E180" s="204"/>
      <c r="F180" s="721"/>
      <c r="G180" s="201"/>
      <c r="H180" s="204"/>
      <c r="I180" s="682"/>
      <c r="J180" s="216"/>
      <c r="K180" s="683">
        <f t="shared" si="57"/>
        <v>0</v>
      </c>
      <c r="L180" s="201"/>
      <c r="M180" s="204"/>
      <c r="N180" s="682">
        <f t="shared" si="58"/>
        <v>0</v>
      </c>
      <c r="O180" s="216"/>
      <c r="P180" s="719">
        <f t="shared" si="61"/>
        <v>0</v>
      </c>
      <c r="Q180" s="7"/>
      <c r="R180" s="678"/>
      <c r="S180" s="678"/>
      <c r="T180" s="678"/>
      <c r="U180" s="678"/>
      <c r="V180" s="678"/>
      <c r="W180" s="677">
        <f t="shared" si="55"/>
        <v>0</v>
      </c>
    </row>
    <row r="181" spans="1:23" ht="14.25">
      <c r="A181" s="22">
        <v>12</v>
      </c>
      <c r="B181" s="201">
        <v>9</v>
      </c>
      <c r="C181" s="204">
        <v>9</v>
      </c>
      <c r="D181" s="720">
        <v>4.6083959999999999</v>
      </c>
      <c r="E181" s="204"/>
      <c r="F181" s="721"/>
      <c r="G181" s="201">
        <v>9</v>
      </c>
      <c r="H181" s="204">
        <v>9</v>
      </c>
      <c r="I181" s="682">
        <f t="shared" ref="I181:I182" si="62">SUM(S181/1000000)</f>
        <v>4.9961520000000004</v>
      </c>
      <c r="J181" s="216"/>
      <c r="K181" s="683">
        <f t="shared" si="57"/>
        <v>0</v>
      </c>
      <c r="L181" s="201">
        <v>9</v>
      </c>
      <c r="M181" s="204">
        <v>9</v>
      </c>
      <c r="N181" s="682">
        <f t="shared" si="58"/>
        <v>5.1447599999999998</v>
      </c>
      <c r="O181" s="216"/>
      <c r="P181" s="719">
        <f t="shared" si="61"/>
        <v>0</v>
      </c>
      <c r="Q181" s="7"/>
      <c r="R181" s="678">
        <v>4996152</v>
      </c>
      <c r="S181" s="678">
        <f>+R181</f>
        <v>4996152</v>
      </c>
      <c r="T181" s="678"/>
      <c r="U181" s="678">
        <v>5144760</v>
      </c>
      <c r="V181" s="678"/>
      <c r="W181" s="677">
        <f t="shared" si="55"/>
        <v>5144760</v>
      </c>
    </row>
    <row r="182" spans="1:23" ht="14.25">
      <c r="A182" s="22">
        <v>11</v>
      </c>
      <c r="B182" s="201">
        <v>13</v>
      </c>
      <c r="C182" s="204">
        <v>6</v>
      </c>
      <c r="D182" s="720">
        <v>2.8062839999999998</v>
      </c>
      <c r="E182" s="204">
        <v>7</v>
      </c>
      <c r="F182" s="721">
        <v>2.0516999999999999</v>
      </c>
      <c r="G182" s="201">
        <v>11</v>
      </c>
      <c r="H182" s="204">
        <v>4</v>
      </c>
      <c r="I182" s="682">
        <f t="shared" si="62"/>
        <v>1.890072</v>
      </c>
      <c r="J182" s="216">
        <f t="shared" si="56"/>
        <v>7</v>
      </c>
      <c r="K182" s="683">
        <f t="shared" si="57"/>
        <v>22.350719999999999</v>
      </c>
      <c r="L182" s="201">
        <v>11</v>
      </c>
      <c r="M182" s="204">
        <v>4</v>
      </c>
      <c r="N182" s="682">
        <f t="shared" si="58"/>
        <v>1.9555439999999999</v>
      </c>
      <c r="O182" s="216">
        <f t="shared" si="59"/>
        <v>7</v>
      </c>
      <c r="P182" s="719">
        <f t="shared" si="61"/>
        <v>22.350719999999999</v>
      </c>
      <c r="Q182" s="7"/>
      <c r="R182" s="678">
        <v>4125144</v>
      </c>
      <c r="S182" s="678">
        <v>1890072</v>
      </c>
      <c r="T182" s="678"/>
      <c r="U182" s="678">
        <v>1955544</v>
      </c>
      <c r="V182" s="678"/>
      <c r="W182" s="677">
        <f t="shared" si="55"/>
        <v>1955544</v>
      </c>
    </row>
    <row r="183" spans="1:23" ht="14.25">
      <c r="A183" s="22">
        <v>10</v>
      </c>
      <c r="B183" s="201"/>
      <c r="C183" s="204"/>
      <c r="D183" s="720"/>
      <c r="E183" s="204"/>
      <c r="F183" s="721"/>
      <c r="G183" s="201"/>
      <c r="H183" s="204"/>
      <c r="I183" s="682"/>
      <c r="J183" s="216"/>
      <c r="K183" s="683">
        <f t="shared" si="57"/>
        <v>0</v>
      </c>
      <c r="L183" s="201"/>
      <c r="M183" s="204"/>
      <c r="N183" s="682">
        <f t="shared" si="58"/>
        <v>0</v>
      </c>
      <c r="O183" s="216"/>
      <c r="P183" s="719">
        <f t="shared" si="61"/>
        <v>0</v>
      </c>
      <c r="Q183" s="7"/>
      <c r="R183" s="678"/>
      <c r="S183" s="678"/>
      <c r="T183" s="678"/>
      <c r="U183" s="678"/>
      <c r="V183" s="678"/>
      <c r="W183" s="677">
        <f t="shared" si="55"/>
        <v>0</v>
      </c>
    </row>
    <row r="184" spans="1:23" ht="14.25">
      <c r="A184" s="22">
        <v>9</v>
      </c>
      <c r="B184" s="201"/>
      <c r="C184" s="204"/>
      <c r="D184" s="720"/>
      <c r="E184" s="204"/>
      <c r="F184" s="721"/>
      <c r="G184" s="201"/>
      <c r="H184" s="204"/>
      <c r="I184" s="682"/>
      <c r="J184" s="216"/>
      <c r="K184" s="683">
        <f t="shared" si="57"/>
        <v>0</v>
      </c>
      <c r="L184" s="201"/>
      <c r="M184" s="204"/>
      <c r="N184" s="682">
        <f t="shared" si="58"/>
        <v>0</v>
      </c>
      <c r="O184" s="216"/>
      <c r="P184" s="719">
        <f t="shared" si="61"/>
        <v>0</v>
      </c>
      <c r="Q184" s="7"/>
      <c r="R184" s="678"/>
      <c r="S184" s="678"/>
      <c r="T184" s="678"/>
      <c r="U184" s="678"/>
      <c r="V184" s="678"/>
      <c r="W184" s="677">
        <f t="shared" si="55"/>
        <v>0</v>
      </c>
    </row>
    <row r="185" spans="1:23" ht="14.25">
      <c r="A185" s="22">
        <v>8</v>
      </c>
      <c r="B185" s="201">
        <v>2</v>
      </c>
      <c r="C185" s="204">
        <v>2</v>
      </c>
      <c r="D185" s="720">
        <v>0.701484</v>
      </c>
      <c r="E185" s="204"/>
      <c r="F185" s="721"/>
      <c r="G185" s="201">
        <v>2</v>
      </c>
      <c r="H185" s="204">
        <v>2</v>
      </c>
      <c r="I185" s="682">
        <f t="shared" ref="I185:I189" si="63">SUM(S185/1000000)</f>
        <v>0.76881600000000005</v>
      </c>
      <c r="J185" s="216"/>
      <c r="K185" s="683">
        <f t="shared" si="57"/>
        <v>0</v>
      </c>
      <c r="L185" s="201">
        <v>2</v>
      </c>
      <c r="M185" s="204">
        <v>2</v>
      </c>
      <c r="N185" s="682">
        <f t="shared" si="58"/>
        <v>0.79372799999999999</v>
      </c>
      <c r="O185" s="216"/>
      <c r="P185" s="719">
        <f t="shared" si="61"/>
        <v>0</v>
      </c>
      <c r="Q185" s="7"/>
      <c r="R185" s="678">
        <v>768816</v>
      </c>
      <c r="S185" s="678">
        <f>+R185</f>
        <v>768816</v>
      </c>
      <c r="T185" s="678"/>
      <c r="U185" s="678">
        <v>793728</v>
      </c>
      <c r="V185" s="678"/>
      <c r="W185" s="677">
        <f t="shared" si="55"/>
        <v>793728</v>
      </c>
    </row>
    <row r="186" spans="1:23" ht="14.25">
      <c r="A186" s="22">
        <v>7</v>
      </c>
      <c r="B186" s="201">
        <v>14</v>
      </c>
      <c r="C186" s="204">
        <v>12</v>
      </c>
      <c r="D186" s="720">
        <v>4.7785679999999999</v>
      </c>
      <c r="E186" s="204">
        <v>2</v>
      </c>
      <c r="F186" s="721">
        <v>0.55888800000000005</v>
      </c>
      <c r="G186" s="201">
        <v>16</v>
      </c>
      <c r="H186" s="204">
        <v>13</v>
      </c>
      <c r="I186" s="682">
        <f t="shared" si="63"/>
        <v>5.5674239999999999</v>
      </c>
      <c r="J186" s="216">
        <f t="shared" si="56"/>
        <v>3</v>
      </c>
      <c r="K186" s="683">
        <f t="shared" si="57"/>
        <v>7.8416399999999999</v>
      </c>
      <c r="L186" s="201">
        <v>16</v>
      </c>
      <c r="M186" s="204">
        <v>13</v>
      </c>
      <c r="N186" s="682">
        <f t="shared" si="58"/>
        <v>5.7123600000000003</v>
      </c>
      <c r="O186" s="216">
        <f t="shared" si="59"/>
        <v>3</v>
      </c>
      <c r="P186" s="719">
        <f t="shared" si="61"/>
        <v>7.8416399999999999</v>
      </c>
      <c r="Q186" s="7"/>
      <c r="R186" s="678">
        <v>6351588</v>
      </c>
      <c r="S186" s="678">
        <v>5567424</v>
      </c>
      <c r="T186" s="678"/>
      <c r="U186" s="678">
        <v>5712360</v>
      </c>
      <c r="V186" s="678"/>
      <c r="W186" s="677">
        <f t="shared" si="55"/>
        <v>5712360</v>
      </c>
    </row>
    <row r="187" spans="1:23" ht="14.25">
      <c r="A187" s="22">
        <v>6</v>
      </c>
      <c r="B187" s="201">
        <v>2</v>
      </c>
      <c r="C187" s="204">
        <v>2</v>
      </c>
      <c r="D187" s="720">
        <v>0.82024799999999998</v>
      </c>
      <c r="E187" s="204"/>
      <c r="F187" s="721"/>
      <c r="G187" s="201">
        <v>2</v>
      </c>
      <c r="H187" s="204">
        <v>2</v>
      </c>
      <c r="I187" s="682">
        <f t="shared" si="63"/>
        <v>0.87914400000000004</v>
      </c>
      <c r="J187" s="216"/>
      <c r="K187" s="683">
        <f t="shared" si="57"/>
        <v>0</v>
      </c>
      <c r="L187" s="201">
        <v>2</v>
      </c>
      <c r="M187" s="204">
        <v>2</v>
      </c>
      <c r="N187" s="682">
        <f t="shared" si="58"/>
        <v>0.899976</v>
      </c>
      <c r="O187" s="216"/>
      <c r="P187" s="719">
        <f t="shared" si="61"/>
        <v>0</v>
      </c>
      <c r="Q187" s="7"/>
      <c r="R187" s="678">
        <v>879144</v>
      </c>
      <c r="S187" s="678">
        <f>+R187</f>
        <v>879144</v>
      </c>
      <c r="T187" s="678"/>
      <c r="U187" s="678">
        <v>899976</v>
      </c>
      <c r="V187" s="678"/>
      <c r="W187" s="677">
        <f t="shared" si="55"/>
        <v>899976</v>
      </c>
    </row>
    <row r="188" spans="1:23" ht="14.25">
      <c r="A188" s="22">
        <v>5</v>
      </c>
      <c r="B188" s="201">
        <v>3</v>
      </c>
      <c r="C188" s="204">
        <v>2</v>
      </c>
      <c r="D188" s="720">
        <v>0.586368</v>
      </c>
      <c r="E188" s="204">
        <v>1</v>
      </c>
      <c r="F188" s="721">
        <v>0.23305200000000001</v>
      </c>
      <c r="G188" s="201">
        <v>2</v>
      </c>
      <c r="H188" s="204">
        <v>1</v>
      </c>
      <c r="I188" s="682">
        <f t="shared" si="63"/>
        <v>0.34211999999999998</v>
      </c>
      <c r="J188" s="216">
        <f t="shared" si="56"/>
        <v>1</v>
      </c>
      <c r="K188" s="683">
        <f t="shared" si="57"/>
        <v>2.5438800000000001</v>
      </c>
      <c r="L188" s="201">
        <v>2</v>
      </c>
      <c r="M188" s="204">
        <v>1</v>
      </c>
      <c r="N188" s="682">
        <f t="shared" si="58"/>
        <v>0.35142000000000001</v>
      </c>
      <c r="O188" s="216">
        <f t="shared" si="59"/>
        <v>1</v>
      </c>
      <c r="P188" s="719">
        <f t="shared" si="61"/>
        <v>2.5438800000000001</v>
      </c>
      <c r="Q188" s="7"/>
      <c r="R188" s="678">
        <v>596508</v>
      </c>
      <c r="S188" s="678">
        <v>342120</v>
      </c>
      <c r="T188" s="678"/>
      <c r="U188" s="678">
        <v>351420</v>
      </c>
      <c r="V188" s="678"/>
      <c r="W188" s="677">
        <f t="shared" si="55"/>
        <v>351420</v>
      </c>
    </row>
    <row r="189" spans="1:23" ht="14.25">
      <c r="A189" s="22">
        <v>4</v>
      </c>
      <c r="B189" s="201">
        <v>12</v>
      </c>
      <c r="C189" s="204">
        <v>12</v>
      </c>
      <c r="D189" s="720">
        <v>3.483384</v>
      </c>
      <c r="E189" s="204"/>
      <c r="F189" s="721"/>
      <c r="G189" s="201">
        <v>13</v>
      </c>
      <c r="H189" s="204">
        <v>13</v>
      </c>
      <c r="I189" s="682">
        <f t="shared" si="63"/>
        <v>4.1520479999999997</v>
      </c>
      <c r="J189" s="216"/>
      <c r="K189" s="683">
        <f t="shared" si="57"/>
        <v>0</v>
      </c>
      <c r="L189" s="201">
        <v>13</v>
      </c>
      <c r="M189" s="204">
        <v>13</v>
      </c>
      <c r="N189" s="682">
        <f t="shared" si="58"/>
        <v>4.2584400000000002</v>
      </c>
      <c r="O189" s="216"/>
      <c r="P189" s="719">
        <f t="shared" si="61"/>
        <v>0</v>
      </c>
      <c r="Q189" s="7"/>
      <c r="R189" s="678">
        <v>4152048</v>
      </c>
      <c r="S189" s="678">
        <f>+R189</f>
        <v>4152048</v>
      </c>
      <c r="T189" s="678"/>
      <c r="U189" s="678">
        <v>4258440</v>
      </c>
      <c r="V189" s="678"/>
      <c r="W189" s="677">
        <f t="shared" si="55"/>
        <v>4258440</v>
      </c>
    </row>
    <row r="190" spans="1:23" ht="14.25">
      <c r="A190" s="22">
        <v>3</v>
      </c>
      <c r="B190" s="201"/>
      <c r="C190" s="204"/>
      <c r="D190" s="720"/>
      <c r="E190" s="204"/>
      <c r="F190" s="721"/>
      <c r="G190" s="201"/>
      <c r="H190" s="204"/>
      <c r="I190" s="682"/>
      <c r="J190" s="216"/>
      <c r="K190" s="683">
        <f t="shared" si="57"/>
        <v>0</v>
      </c>
      <c r="L190" s="201"/>
      <c r="M190" s="204"/>
      <c r="N190" s="682">
        <f t="shared" si="58"/>
        <v>0</v>
      </c>
      <c r="O190" s="216"/>
      <c r="P190" s="719">
        <f t="shared" si="61"/>
        <v>0</v>
      </c>
      <c r="Q190" s="7"/>
      <c r="R190" s="678"/>
      <c r="S190" s="678"/>
      <c r="T190" s="678"/>
      <c r="U190" s="678"/>
      <c r="V190" s="678"/>
      <c r="W190" s="677">
        <f t="shared" si="55"/>
        <v>0</v>
      </c>
    </row>
    <row r="191" spans="1:23" ht="14.25">
      <c r="A191" s="22">
        <v>2</v>
      </c>
      <c r="B191" s="201">
        <v>1</v>
      </c>
      <c r="C191" s="204"/>
      <c r="D191" s="720"/>
      <c r="E191" s="204">
        <v>1</v>
      </c>
      <c r="F191" s="721">
        <v>0.236736</v>
      </c>
      <c r="G191" s="201">
        <v>1</v>
      </c>
      <c r="H191" s="204"/>
      <c r="I191" s="682"/>
      <c r="J191" s="216">
        <f t="shared" si="56"/>
        <v>1</v>
      </c>
      <c r="K191" s="683">
        <f t="shared" si="57"/>
        <v>2.1130800000000001</v>
      </c>
      <c r="L191" s="201">
        <v>1</v>
      </c>
      <c r="M191" s="204"/>
      <c r="N191" s="682">
        <f t="shared" si="58"/>
        <v>0</v>
      </c>
      <c r="O191" s="216">
        <f t="shared" si="59"/>
        <v>1</v>
      </c>
      <c r="P191" s="719">
        <f t="shared" si="61"/>
        <v>2.1130800000000001</v>
      </c>
      <c r="Q191" s="7"/>
      <c r="R191" s="678">
        <v>211308</v>
      </c>
      <c r="S191" s="678"/>
      <c r="T191" s="678"/>
      <c r="U191" s="678"/>
      <c r="V191" s="678"/>
      <c r="W191" s="677">
        <f t="shared" si="55"/>
        <v>0</v>
      </c>
    </row>
    <row r="192" spans="1:23">
      <c r="A192" s="22">
        <v>1</v>
      </c>
      <c r="B192" s="201"/>
      <c r="C192" s="204"/>
      <c r="D192" s="720"/>
      <c r="E192" s="204"/>
      <c r="F192" s="721"/>
      <c r="G192" s="722"/>
      <c r="H192" s="204"/>
      <c r="I192" s="720"/>
      <c r="J192" s="204"/>
      <c r="K192" s="721"/>
      <c r="L192" s="201"/>
      <c r="M192" s="204"/>
      <c r="N192" s="720"/>
      <c r="O192" s="216"/>
      <c r="P192" s="721"/>
      <c r="Q192" s="7"/>
      <c r="R192" s="678"/>
      <c r="S192" s="678"/>
      <c r="T192" s="678"/>
      <c r="U192" s="678"/>
      <c r="V192" s="678"/>
      <c r="W192" s="677">
        <f t="shared" si="55"/>
        <v>0</v>
      </c>
    </row>
    <row r="193" spans="1:23">
      <c r="A193" s="339" t="s">
        <v>138</v>
      </c>
      <c r="B193" s="340">
        <f>SUM(B171:B192)</f>
        <v>100</v>
      </c>
      <c r="C193" s="340">
        <f t="shared" ref="C193:P193" si="64">SUM(C171:C192)</f>
        <v>79</v>
      </c>
      <c r="D193" s="341">
        <f t="shared" si="64"/>
        <v>44.730384000000001</v>
      </c>
      <c r="E193" s="340">
        <f t="shared" si="64"/>
        <v>21</v>
      </c>
      <c r="F193" s="341">
        <f t="shared" si="64"/>
        <v>8.8859160000000017</v>
      </c>
      <c r="G193" s="340">
        <f t="shared" si="64"/>
        <v>101</v>
      </c>
      <c r="H193" s="340">
        <f t="shared" si="64"/>
        <v>79</v>
      </c>
      <c r="I193" s="341">
        <f t="shared" si="64"/>
        <v>48.590556000000007</v>
      </c>
      <c r="J193" s="340">
        <f t="shared" si="64"/>
        <v>22</v>
      </c>
      <c r="K193" s="341">
        <f t="shared" si="64"/>
        <v>98.38163999999999</v>
      </c>
      <c r="L193" s="340">
        <f t="shared" si="64"/>
        <v>101</v>
      </c>
      <c r="M193" s="340">
        <f t="shared" si="64"/>
        <v>79</v>
      </c>
      <c r="N193" s="341">
        <f t="shared" si="64"/>
        <v>49.914996000000009</v>
      </c>
      <c r="O193" s="340">
        <f t="shared" si="64"/>
        <v>22</v>
      </c>
      <c r="P193" s="712">
        <f t="shared" si="64"/>
        <v>98.38163999999999</v>
      </c>
    </row>
    <row r="194" spans="1:23" ht="18">
      <c r="A194" s="1429" t="s">
        <v>1293</v>
      </c>
      <c r="B194" s="1429"/>
      <c r="C194" s="1429"/>
      <c r="D194" s="1429"/>
      <c r="E194" s="1429"/>
      <c r="F194" s="1429"/>
      <c r="G194" s="1429"/>
      <c r="H194" s="1429"/>
      <c r="I194" s="1429"/>
      <c r="J194" s="1429"/>
      <c r="K194" s="1429"/>
      <c r="L194" s="1429"/>
      <c r="M194" s="1429"/>
      <c r="N194" s="1429"/>
      <c r="O194" s="1429"/>
      <c r="P194" s="1429"/>
      <c r="Q194" s="7"/>
      <c r="R194" s="678"/>
      <c r="S194" s="678"/>
      <c r="T194" s="678"/>
      <c r="U194" s="678"/>
      <c r="V194" s="678"/>
      <c r="W194" s="7"/>
    </row>
    <row r="195" spans="1:23">
      <c r="A195" s="1434" t="s">
        <v>873</v>
      </c>
      <c r="B195" s="1437" t="str">
        <f>+$B$6</f>
        <v>Status during last FY 2017-18</v>
      </c>
      <c r="C195" s="1438"/>
      <c r="D195" s="1438"/>
      <c r="E195" s="1438"/>
      <c r="F195" s="1439"/>
      <c r="G195" s="1437" t="str">
        <f>+$G$6</f>
        <v>Status during current FY 2018-19</v>
      </c>
      <c r="H195" s="1438"/>
      <c r="I195" s="1438"/>
      <c r="J195" s="1438"/>
      <c r="K195" s="1439"/>
      <c r="L195" s="1437" t="str">
        <f>+$L$6</f>
        <v>Planned for next FY 2019-20</v>
      </c>
      <c r="M195" s="1438"/>
      <c r="N195" s="1438"/>
      <c r="O195" s="1438"/>
      <c r="P195" s="1439"/>
      <c r="Q195" s="7"/>
      <c r="R195" s="678"/>
      <c r="S195" s="678"/>
      <c r="T195" s="678"/>
      <c r="U195" s="678"/>
      <c r="V195" s="678"/>
      <c r="W195" s="7"/>
    </row>
    <row r="196" spans="1:23">
      <c r="A196" s="1435"/>
      <c r="B196" s="1431" t="s">
        <v>872</v>
      </c>
      <c r="C196" s="1411" t="s">
        <v>134</v>
      </c>
      <c r="D196" s="1411"/>
      <c r="E196" s="1412" t="s">
        <v>135</v>
      </c>
      <c r="F196" s="1413"/>
      <c r="G196" s="1431" t="s">
        <v>869</v>
      </c>
      <c r="H196" s="1411" t="s">
        <v>134</v>
      </c>
      <c r="I196" s="1411"/>
      <c r="J196" s="1412" t="s">
        <v>135</v>
      </c>
      <c r="K196" s="1413"/>
      <c r="L196" s="1431" t="s">
        <v>869</v>
      </c>
      <c r="M196" s="1411" t="s">
        <v>134</v>
      </c>
      <c r="N196" s="1411"/>
      <c r="O196" s="1412" t="s">
        <v>135</v>
      </c>
      <c r="P196" s="1413"/>
      <c r="Q196" s="7"/>
      <c r="R196" s="1433" t="s">
        <v>1310</v>
      </c>
      <c r="S196" s="1433"/>
      <c r="T196" s="1433"/>
      <c r="U196" s="1430" t="s">
        <v>1311</v>
      </c>
      <c r="V196" s="1430"/>
      <c r="W196" s="1430"/>
    </row>
    <row r="197" spans="1:23" ht="42.75">
      <c r="A197" s="1436"/>
      <c r="B197" s="1432"/>
      <c r="C197" s="199" t="s">
        <v>153</v>
      </c>
      <c r="D197" s="665" t="s">
        <v>868</v>
      </c>
      <c r="E197" s="199" t="s">
        <v>153</v>
      </c>
      <c r="F197" s="666" t="s">
        <v>868</v>
      </c>
      <c r="G197" s="1432"/>
      <c r="H197" s="199" t="s">
        <v>153</v>
      </c>
      <c r="I197" s="665" t="s">
        <v>868</v>
      </c>
      <c r="J197" s="199" t="s">
        <v>153</v>
      </c>
      <c r="K197" s="666" t="s">
        <v>868</v>
      </c>
      <c r="L197" s="1432"/>
      <c r="M197" s="199" t="s">
        <v>153</v>
      </c>
      <c r="N197" s="665" t="s">
        <v>868</v>
      </c>
      <c r="O197" s="199" t="s">
        <v>153</v>
      </c>
      <c r="P197" s="666" t="s">
        <v>868</v>
      </c>
      <c r="Q197" s="7"/>
      <c r="R197" s="714" t="s">
        <v>1313</v>
      </c>
      <c r="S197" s="715" t="s">
        <v>1314</v>
      </c>
      <c r="T197" s="714"/>
      <c r="U197" s="714" t="s">
        <v>1313</v>
      </c>
      <c r="V197" s="715" t="s">
        <v>1314</v>
      </c>
      <c r="W197" s="309"/>
    </row>
    <row r="198" spans="1:23" ht="14.25">
      <c r="A198" s="708">
        <v>22</v>
      </c>
      <c r="B198" s="716"/>
      <c r="C198" s="717"/>
      <c r="D198" s="213"/>
      <c r="E198" s="717"/>
      <c r="F198" s="214"/>
      <c r="G198" s="716"/>
      <c r="H198" s="717"/>
      <c r="I198" s="675"/>
      <c r="J198" s="717"/>
      <c r="K198" s="674"/>
      <c r="L198" s="716"/>
      <c r="M198" s="717"/>
      <c r="N198" s="213"/>
      <c r="O198" s="717"/>
      <c r="P198" s="718"/>
      <c r="Q198" s="7"/>
      <c r="R198" s="678"/>
      <c r="S198" s="678"/>
      <c r="T198" s="678"/>
      <c r="U198" s="678"/>
      <c r="V198" s="678"/>
      <c r="W198" s="677">
        <f t="shared" ref="W198:W219" si="65">SUM(U198-V198)</f>
        <v>0</v>
      </c>
    </row>
    <row r="199" spans="1:23" ht="14.25">
      <c r="A199" s="14">
        <v>21</v>
      </c>
      <c r="B199" s="215"/>
      <c r="C199" s="216"/>
      <c r="D199" s="217"/>
      <c r="E199" s="216"/>
      <c r="F199" s="218"/>
      <c r="G199" s="215"/>
      <c r="H199" s="216"/>
      <c r="I199" s="682"/>
      <c r="J199" s="216"/>
      <c r="K199" s="683"/>
      <c r="L199" s="215"/>
      <c r="M199" s="216"/>
      <c r="N199" s="217"/>
      <c r="O199" s="216"/>
      <c r="P199" s="719">
        <f>+K199</f>
        <v>0</v>
      </c>
      <c r="Q199" s="7"/>
      <c r="R199" s="678"/>
      <c r="S199" s="678"/>
      <c r="T199" s="678"/>
      <c r="U199" s="678"/>
      <c r="V199" s="678"/>
      <c r="W199" s="677">
        <f t="shared" si="65"/>
        <v>0</v>
      </c>
    </row>
    <row r="200" spans="1:23" ht="14.25">
      <c r="A200" s="14">
        <v>20</v>
      </c>
      <c r="B200" s="215"/>
      <c r="C200" s="216"/>
      <c r="D200" s="217"/>
      <c r="E200" s="216"/>
      <c r="F200" s="218"/>
      <c r="G200" s="215"/>
      <c r="H200" s="216"/>
      <c r="I200" s="682">
        <f t="shared" ref="I200:I201" si="66">SUM(S200/1000000)</f>
        <v>0</v>
      </c>
      <c r="J200" s="216"/>
      <c r="K200" s="683"/>
      <c r="L200" s="215"/>
      <c r="M200" s="216"/>
      <c r="N200" s="217"/>
      <c r="O200" s="216"/>
      <c r="P200" s="719">
        <f t="shared" ref="P200:P218" si="67">+K200</f>
        <v>0</v>
      </c>
      <c r="Q200" s="7"/>
      <c r="R200" s="678"/>
      <c r="S200" s="678"/>
      <c r="T200" s="678"/>
      <c r="U200" s="678"/>
      <c r="V200" s="678"/>
      <c r="W200" s="677">
        <f t="shared" si="65"/>
        <v>0</v>
      </c>
    </row>
    <row r="201" spans="1:23" ht="14.25">
      <c r="A201" s="710">
        <v>19</v>
      </c>
      <c r="B201" s="215"/>
      <c r="C201" s="216"/>
      <c r="D201" s="217"/>
      <c r="E201" s="216"/>
      <c r="F201" s="218"/>
      <c r="G201" s="215"/>
      <c r="H201" s="216"/>
      <c r="I201" s="682">
        <f t="shared" si="66"/>
        <v>0</v>
      </c>
      <c r="J201" s="216"/>
      <c r="K201" s="683">
        <f t="shared" ref="K201:K218" si="68">SUM(R201-S201)/100000</f>
        <v>0</v>
      </c>
      <c r="L201" s="215"/>
      <c r="M201" s="216"/>
      <c r="N201" s="217"/>
      <c r="O201" s="216"/>
      <c r="P201" s="719">
        <f t="shared" si="67"/>
        <v>0</v>
      </c>
      <c r="Q201" s="7"/>
      <c r="R201" s="678"/>
      <c r="S201" s="678"/>
      <c r="T201" s="678"/>
      <c r="U201" s="678"/>
      <c r="V201" s="678"/>
      <c r="W201" s="677">
        <f t="shared" si="65"/>
        <v>0</v>
      </c>
    </row>
    <row r="202" spans="1:23" ht="14.25">
      <c r="A202" s="14">
        <v>18</v>
      </c>
      <c r="B202" s="215"/>
      <c r="C202" s="216"/>
      <c r="D202" s="217"/>
      <c r="E202" s="216"/>
      <c r="F202" s="218"/>
      <c r="G202" s="215"/>
      <c r="H202" s="216"/>
      <c r="I202" s="682">
        <f>SUM(S202/1000000)</f>
        <v>0</v>
      </c>
      <c r="J202" s="216"/>
      <c r="K202" s="683">
        <f t="shared" si="68"/>
        <v>0</v>
      </c>
      <c r="L202" s="215"/>
      <c r="M202" s="216"/>
      <c r="N202" s="217"/>
      <c r="O202" s="216"/>
      <c r="P202" s="719">
        <f t="shared" si="67"/>
        <v>0</v>
      </c>
      <c r="Q202" s="7"/>
      <c r="R202" s="678"/>
      <c r="S202" s="678"/>
      <c r="T202" s="678"/>
      <c r="U202" s="678"/>
      <c r="V202" s="678"/>
      <c r="W202" s="677">
        <f t="shared" si="65"/>
        <v>0</v>
      </c>
    </row>
    <row r="203" spans="1:23" ht="14.25">
      <c r="A203" s="14">
        <v>17</v>
      </c>
      <c r="B203" s="215">
        <v>2</v>
      </c>
      <c r="C203" s="216">
        <v>1</v>
      </c>
      <c r="D203" s="217">
        <v>0.72128400000000004</v>
      </c>
      <c r="E203" s="216">
        <v>1</v>
      </c>
      <c r="F203" s="218">
        <v>0.65824800000000006</v>
      </c>
      <c r="G203" s="215">
        <v>1</v>
      </c>
      <c r="H203" s="216"/>
      <c r="I203" s="682">
        <f t="shared" ref="I203:I206" si="69">SUM(S203/1000000)</f>
        <v>0</v>
      </c>
      <c r="J203" s="216">
        <f t="shared" ref="J203:J218" si="70">SUM(G203-H203)</f>
        <v>1</v>
      </c>
      <c r="K203" s="683">
        <f t="shared" si="68"/>
        <v>7.2129599999999998</v>
      </c>
      <c r="L203" s="215">
        <v>1</v>
      </c>
      <c r="M203" s="216"/>
      <c r="N203" s="682">
        <f t="shared" ref="N203:N218" si="71">SUM(U203/1000000)</f>
        <v>0</v>
      </c>
      <c r="O203" s="216">
        <f t="shared" ref="O203:O218" si="72">SUM(L203-M203)</f>
        <v>1</v>
      </c>
      <c r="P203" s="719">
        <f t="shared" si="67"/>
        <v>7.2129599999999998</v>
      </c>
      <c r="Q203" s="7"/>
      <c r="R203" s="678">
        <v>721296</v>
      </c>
      <c r="S203" s="678"/>
      <c r="T203" s="678"/>
      <c r="U203" s="678"/>
      <c r="V203" s="678"/>
      <c r="W203" s="677">
        <f t="shared" si="65"/>
        <v>0</v>
      </c>
    </row>
    <row r="204" spans="1:23" ht="14.25">
      <c r="A204" s="14">
        <v>16</v>
      </c>
      <c r="B204" s="200">
        <v>8</v>
      </c>
      <c r="C204" s="204">
        <v>7</v>
      </c>
      <c r="D204" s="720">
        <v>5.6484240000000003</v>
      </c>
      <c r="E204" s="204">
        <v>1</v>
      </c>
      <c r="F204" s="721">
        <v>0.44992799999999999</v>
      </c>
      <c r="G204" s="200">
        <v>10</v>
      </c>
      <c r="H204" s="204">
        <v>8</v>
      </c>
      <c r="I204" s="682">
        <f t="shared" si="69"/>
        <v>6.8140679999999998</v>
      </c>
      <c r="J204" s="216">
        <f t="shared" si="70"/>
        <v>2</v>
      </c>
      <c r="K204" s="683">
        <f t="shared" si="68"/>
        <v>9.7797599999999996</v>
      </c>
      <c r="L204" s="200">
        <v>10</v>
      </c>
      <c r="M204" s="204">
        <v>8</v>
      </c>
      <c r="N204" s="682">
        <f t="shared" si="71"/>
        <v>6.9891719999999999</v>
      </c>
      <c r="O204" s="216">
        <f t="shared" si="72"/>
        <v>2</v>
      </c>
      <c r="P204" s="719">
        <f t="shared" si="67"/>
        <v>9.7797599999999996</v>
      </c>
      <c r="Q204" s="7"/>
      <c r="R204" s="678">
        <v>7792044</v>
      </c>
      <c r="S204" s="678">
        <v>6814068</v>
      </c>
      <c r="U204" s="678">
        <v>6989172</v>
      </c>
      <c r="V204" s="678"/>
      <c r="W204" s="677">
        <f t="shared" si="65"/>
        <v>6989172</v>
      </c>
    </row>
    <row r="205" spans="1:23" ht="14.25">
      <c r="A205" s="14">
        <v>15</v>
      </c>
      <c r="B205" s="200">
        <v>1</v>
      </c>
      <c r="C205" s="204">
        <v>1</v>
      </c>
      <c r="D205" s="720">
        <v>0.76439999999999997</v>
      </c>
      <c r="E205" s="204"/>
      <c r="F205" s="721"/>
      <c r="G205" s="200">
        <v>1</v>
      </c>
      <c r="H205" s="204">
        <v>1</v>
      </c>
      <c r="I205" s="682">
        <f t="shared" si="69"/>
        <v>0.81654000000000004</v>
      </c>
      <c r="J205" s="216"/>
      <c r="K205" s="683">
        <f t="shared" si="68"/>
        <v>0</v>
      </c>
      <c r="L205" s="200">
        <v>1</v>
      </c>
      <c r="M205" s="204">
        <v>1</v>
      </c>
      <c r="N205" s="682">
        <f t="shared" si="71"/>
        <v>0.83569199999999999</v>
      </c>
      <c r="O205" s="216"/>
      <c r="P205" s="719">
        <f t="shared" si="67"/>
        <v>0</v>
      </c>
      <c r="Q205" s="7"/>
      <c r="R205" s="678">
        <v>816540</v>
      </c>
      <c r="S205" s="678">
        <f>+R205</f>
        <v>816540</v>
      </c>
      <c r="U205" s="678">
        <v>835692</v>
      </c>
      <c r="V205" s="678"/>
      <c r="W205" s="677">
        <f t="shared" si="65"/>
        <v>835692</v>
      </c>
    </row>
    <row r="206" spans="1:23" ht="14.25">
      <c r="A206" s="22">
        <v>14</v>
      </c>
      <c r="B206" s="201">
        <v>1</v>
      </c>
      <c r="C206" s="204">
        <v>1</v>
      </c>
      <c r="D206" s="720">
        <v>0.68310000000000004</v>
      </c>
      <c r="E206" s="204"/>
      <c r="F206" s="721"/>
      <c r="G206" s="201"/>
      <c r="H206" s="204"/>
      <c r="I206" s="682">
        <f t="shared" si="69"/>
        <v>0</v>
      </c>
      <c r="J206" s="216"/>
      <c r="K206" s="683">
        <f t="shared" si="68"/>
        <v>0</v>
      </c>
      <c r="L206" s="201"/>
      <c r="M206" s="204"/>
      <c r="N206" s="682">
        <f t="shared" si="71"/>
        <v>0</v>
      </c>
      <c r="O206" s="216"/>
      <c r="P206" s="719">
        <f t="shared" si="67"/>
        <v>0</v>
      </c>
      <c r="Q206" s="7"/>
      <c r="R206" s="678"/>
      <c r="S206" s="678"/>
      <c r="U206" s="678"/>
      <c r="V206" s="678"/>
      <c r="W206" s="677">
        <f t="shared" si="65"/>
        <v>0</v>
      </c>
    </row>
    <row r="207" spans="1:23" ht="14.25">
      <c r="A207" s="22">
        <v>13</v>
      </c>
      <c r="B207" s="201"/>
      <c r="C207" s="204"/>
      <c r="D207" s="720"/>
      <c r="E207" s="204"/>
      <c r="F207" s="721"/>
      <c r="G207" s="201"/>
      <c r="H207" s="204"/>
      <c r="I207" s="682"/>
      <c r="J207" s="216"/>
      <c r="K207" s="683">
        <f t="shared" si="68"/>
        <v>0</v>
      </c>
      <c r="L207" s="201"/>
      <c r="M207" s="204"/>
      <c r="N207" s="682">
        <f t="shared" si="71"/>
        <v>0</v>
      </c>
      <c r="O207" s="216"/>
      <c r="P207" s="719">
        <f t="shared" si="67"/>
        <v>0</v>
      </c>
      <c r="Q207" s="7"/>
      <c r="R207" s="678"/>
      <c r="S207" s="678"/>
      <c r="U207" s="678"/>
      <c r="V207" s="678"/>
      <c r="W207" s="677">
        <f t="shared" si="65"/>
        <v>0</v>
      </c>
    </row>
    <row r="208" spans="1:23" ht="14.25">
      <c r="A208" s="22">
        <v>12</v>
      </c>
      <c r="B208" s="201">
        <v>1</v>
      </c>
      <c r="C208" s="204">
        <v>1</v>
      </c>
      <c r="D208" s="720">
        <v>0.66361199999999998</v>
      </c>
      <c r="E208" s="204"/>
      <c r="F208" s="721"/>
      <c r="G208" s="201"/>
      <c r="H208" s="204"/>
      <c r="I208" s="682">
        <f t="shared" ref="I208:I209" si="73">SUM(S208/1000000)</f>
        <v>0</v>
      </c>
      <c r="J208" s="216"/>
      <c r="K208" s="683">
        <f t="shared" si="68"/>
        <v>0</v>
      </c>
      <c r="L208" s="201"/>
      <c r="M208" s="204"/>
      <c r="N208" s="682">
        <f t="shared" si="71"/>
        <v>0</v>
      </c>
      <c r="O208" s="216"/>
      <c r="P208" s="719">
        <f t="shared" si="67"/>
        <v>0</v>
      </c>
      <c r="Q208" s="7"/>
      <c r="R208" s="678"/>
      <c r="S208" s="678"/>
      <c r="U208" s="678"/>
      <c r="V208" s="678"/>
      <c r="W208" s="677">
        <f t="shared" si="65"/>
        <v>0</v>
      </c>
    </row>
    <row r="209" spans="1:23" ht="14.25">
      <c r="A209" s="22">
        <v>11</v>
      </c>
      <c r="B209" s="201"/>
      <c r="C209" s="204"/>
      <c r="D209" s="720"/>
      <c r="E209" s="204"/>
      <c r="F209" s="721"/>
      <c r="G209" s="201"/>
      <c r="H209" s="204"/>
      <c r="I209" s="682">
        <f t="shared" si="73"/>
        <v>0</v>
      </c>
      <c r="J209" s="216"/>
      <c r="K209" s="683">
        <f t="shared" si="68"/>
        <v>0</v>
      </c>
      <c r="L209" s="201"/>
      <c r="M209" s="204"/>
      <c r="N209" s="682">
        <f t="shared" si="71"/>
        <v>0</v>
      </c>
      <c r="O209" s="216"/>
      <c r="P209" s="719">
        <f t="shared" si="67"/>
        <v>0</v>
      </c>
      <c r="Q209" s="7"/>
      <c r="R209" s="678"/>
      <c r="S209" s="678"/>
      <c r="U209" s="678"/>
      <c r="V209" s="678"/>
      <c r="W209" s="677">
        <f t="shared" si="65"/>
        <v>0</v>
      </c>
    </row>
    <row r="210" spans="1:23" ht="14.25">
      <c r="A210" s="22">
        <v>10</v>
      </c>
      <c r="B210" s="201"/>
      <c r="C210" s="204"/>
      <c r="D210" s="720"/>
      <c r="E210" s="204"/>
      <c r="F210" s="721"/>
      <c r="G210" s="201"/>
      <c r="H210" s="204"/>
      <c r="I210" s="682"/>
      <c r="J210" s="216"/>
      <c r="K210" s="683">
        <f t="shared" si="68"/>
        <v>0</v>
      </c>
      <c r="L210" s="201"/>
      <c r="M210" s="204"/>
      <c r="N210" s="682">
        <f t="shared" si="71"/>
        <v>0</v>
      </c>
      <c r="O210" s="216"/>
      <c r="P210" s="719">
        <f t="shared" si="67"/>
        <v>0</v>
      </c>
      <c r="Q210" s="7"/>
      <c r="R210" s="678"/>
      <c r="S210" s="678"/>
      <c r="U210" s="678"/>
      <c r="V210" s="678"/>
      <c r="W210" s="677">
        <f t="shared" si="65"/>
        <v>0</v>
      </c>
    </row>
    <row r="211" spans="1:23" ht="14.25">
      <c r="A211" s="22">
        <v>9</v>
      </c>
      <c r="B211" s="201"/>
      <c r="C211" s="204"/>
      <c r="D211" s="720"/>
      <c r="E211" s="204"/>
      <c r="F211" s="721"/>
      <c r="G211" s="201"/>
      <c r="H211" s="204"/>
      <c r="I211" s="682"/>
      <c r="J211" s="216"/>
      <c r="K211" s="683">
        <f t="shared" si="68"/>
        <v>0</v>
      </c>
      <c r="L211" s="201"/>
      <c r="M211" s="204"/>
      <c r="N211" s="682">
        <f t="shared" si="71"/>
        <v>0</v>
      </c>
      <c r="O211" s="216"/>
      <c r="P211" s="719">
        <f t="shared" si="67"/>
        <v>0</v>
      </c>
      <c r="Q211" s="7"/>
      <c r="R211" s="678"/>
      <c r="S211" s="678"/>
      <c r="U211" s="678"/>
      <c r="V211" s="678"/>
      <c r="W211" s="677">
        <f t="shared" si="65"/>
        <v>0</v>
      </c>
    </row>
    <row r="212" spans="1:23" ht="14.25">
      <c r="A212" s="22">
        <v>8</v>
      </c>
      <c r="B212" s="201">
        <v>3</v>
      </c>
      <c r="C212" s="204">
        <v>3</v>
      </c>
      <c r="D212" s="720">
        <v>1.262256</v>
      </c>
      <c r="E212" s="204"/>
      <c r="F212" s="721"/>
      <c r="G212" s="201">
        <v>3</v>
      </c>
      <c r="H212" s="204">
        <v>3</v>
      </c>
      <c r="I212" s="682">
        <f t="shared" ref="I212:I218" si="74">SUM(S212/1000000)</f>
        <v>1.359804</v>
      </c>
      <c r="J212" s="216"/>
      <c r="K212" s="683">
        <f t="shared" si="68"/>
        <v>0</v>
      </c>
      <c r="L212" s="201">
        <v>3</v>
      </c>
      <c r="M212" s="204">
        <v>3</v>
      </c>
      <c r="N212" s="682">
        <f t="shared" si="71"/>
        <v>1.3971720000000001</v>
      </c>
      <c r="O212" s="216"/>
      <c r="P212" s="719">
        <f t="shared" si="67"/>
        <v>0</v>
      </c>
      <c r="Q212" s="7"/>
      <c r="R212" s="678">
        <v>1359804</v>
      </c>
      <c r="S212" s="678">
        <f>+R212</f>
        <v>1359804</v>
      </c>
      <c r="U212" s="678">
        <v>1397172</v>
      </c>
      <c r="V212" s="678"/>
      <c r="W212" s="677">
        <f t="shared" si="65"/>
        <v>1397172</v>
      </c>
    </row>
    <row r="213" spans="1:23" ht="14.25">
      <c r="A213" s="22">
        <v>7</v>
      </c>
      <c r="B213" s="201">
        <v>9</v>
      </c>
      <c r="C213" s="204">
        <v>7</v>
      </c>
      <c r="D213" s="720">
        <v>2.7855599999999998</v>
      </c>
      <c r="E213" s="204">
        <v>2</v>
      </c>
      <c r="F213" s="721">
        <v>0.55888800000000005</v>
      </c>
      <c r="G213" s="201">
        <v>10</v>
      </c>
      <c r="H213" s="204">
        <v>6</v>
      </c>
      <c r="I213" s="682">
        <f t="shared" si="74"/>
        <v>2.6393439999999999</v>
      </c>
      <c r="J213" s="216">
        <f t="shared" si="70"/>
        <v>4</v>
      </c>
      <c r="K213" s="683">
        <f t="shared" si="68"/>
        <v>10.764799999999999</v>
      </c>
      <c r="L213" s="201">
        <v>10</v>
      </c>
      <c r="M213" s="204">
        <v>6</v>
      </c>
      <c r="N213" s="682">
        <f t="shared" si="71"/>
        <v>2.7547199999999998</v>
      </c>
      <c r="O213" s="216">
        <f t="shared" si="72"/>
        <v>4</v>
      </c>
      <c r="P213" s="719">
        <f t="shared" si="67"/>
        <v>10.764799999999999</v>
      </c>
      <c r="Q213" s="7"/>
      <c r="R213" s="678">
        <v>3715824</v>
      </c>
      <c r="S213" s="678">
        <v>2639344</v>
      </c>
      <c r="U213" s="678">
        <v>2754720</v>
      </c>
      <c r="V213" s="678"/>
      <c r="W213" s="677">
        <f t="shared" si="65"/>
        <v>2754720</v>
      </c>
    </row>
    <row r="214" spans="1:23" ht="14.25">
      <c r="A214" s="22">
        <v>6</v>
      </c>
      <c r="B214" s="201">
        <v>1</v>
      </c>
      <c r="C214" s="204">
        <v>1</v>
      </c>
      <c r="D214" s="720">
        <v>0.41868</v>
      </c>
      <c r="E214" s="204"/>
      <c r="F214" s="721"/>
      <c r="G214" s="201">
        <v>1</v>
      </c>
      <c r="H214" s="204">
        <v>1</v>
      </c>
      <c r="I214" s="682">
        <f t="shared" si="74"/>
        <v>0.46401599999999998</v>
      </c>
      <c r="J214" s="216"/>
      <c r="K214" s="683">
        <f t="shared" si="68"/>
        <v>0</v>
      </c>
      <c r="L214" s="201">
        <v>1</v>
      </c>
      <c r="M214" s="204">
        <v>1</v>
      </c>
      <c r="N214" s="682">
        <f t="shared" si="71"/>
        <v>0.47443200000000002</v>
      </c>
      <c r="O214" s="216"/>
      <c r="P214" s="719">
        <f t="shared" si="67"/>
        <v>0</v>
      </c>
      <c r="Q214" s="7"/>
      <c r="R214" s="678">
        <v>464016</v>
      </c>
      <c r="S214" s="678">
        <f>+R214</f>
        <v>464016</v>
      </c>
      <c r="U214" s="678">
        <v>474432</v>
      </c>
      <c r="V214" s="678"/>
      <c r="W214" s="677">
        <f t="shared" si="65"/>
        <v>474432</v>
      </c>
    </row>
    <row r="215" spans="1:23" ht="14.25">
      <c r="A215" s="22">
        <v>5</v>
      </c>
      <c r="B215" s="201">
        <v>2</v>
      </c>
      <c r="C215" s="204"/>
      <c r="D215" s="720"/>
      <c r="E215" s="204">
        <v>2</v>
      </c>
      <c r="F215" s="721">
        <v>0.46610400000000002</v>
      </c>
      <c r="G215" s="201">
        <v>2</v>
      </c>
      <c r="H215" s="204"/>
      <c r="I215" s="682">
        <f t="shared" si="74"/>
        <v>0</v>
      </c>
      <c r="J215" s="216">
        <f t="shared" si="70"/>
        <v>2</v>
      </c>
      <c r="K215" s="683">
        <f t="shared" si="68"/>
        <v>5.0877600000000003</v>
      </c>
      <c r="L215" s="201">
        <v>2</v>
      </c>
      <c r="M215" s="204"/>
      <c r="N215" s="682">
        <f t="shared" si="71"/>
        <v>0</v>
      </c>
      <c r="O215" s="216">
        <f t="shared" si="72"/>
        <v>2</v>
      </c>
      <c r="P215" s="719">
        <f t="shared" si="67"/>
        <v>5.0877600000000003</v>
      </c>
      <c r="Q215" s="7"/>
      <c r="R215" s="678">
        <v>508776</v>
      </c>
      <c r="S215" s="678"/>
      <c r="U215" s="678"/>
      <c r="V215" s="678"/>
      <c r="W215" s="677">
        <f t="shared" si="65"/>
        <v>0</v>
      </c>
    </row>
    <row r="216" spans="1:23" ht="14.25">
      <c r="A216" s="22">
        <v>4</v>
      </c>
      <c r="B216" s="201">
        <v>7</v>
      </c>
      <c r="C216" s="204">
        <v>6</v>
      </c>
      <c r="D216" s="720">
        <v>1.825164</v>
      </c>
      <c r="E216" s="204">
        <v>1</v>
      </c>
      <c r="F216" s="721">
        <v>0.22915199999999999</v>
      </c>
      <c r="G216" s="201">
        <v>7</v>
      </c>
      <c r="H216" s="204">
        <v>6</v>
      </c>
      <c r="I216" s="682">
        <f t="shared" si="74"/>
        <v>1.980348</v>
      </c>
      <c r="J216" s="216">
        <f t="shared" si="70"/>
        <v>1</v>
      </c>
      <c r="K216" s="683">
        <f t="shared" si="68"/>
        <v>2.4977999999999998</v>
      </c>
      <c r="L216" s="201">
        <v>7</v>
      </c>
      <c r="M216" s="204">
        <v>6</v>
      </c>
      <c r="N216" s="682">
        <f t="shared" si="71"/>
        <v>2.029452</v>
      </c>
      <c r="O216" s="216">
        <f t="shared" si="72"/>
        <v>1</v>
      </c>
      <c r="P216" s="719">
        <f t="shared" si="67"/>
        <v>2.4977999999999998</v>
      </c>
      <c r="Q216" s="7"/>
      <c r="R216" s="678">
        <v>2230128</v>
      </c>
      <c r="S216" s="678">
        <v>1980348</v>
      </c>
      <c r="U216" s="678">
        <v>2029452</v>
      </c>
      <c r="V216" s="678"/>
      <c r="W216" s="677">
        <f t="shared" si="65"/>
        <v>2029452</v>
      </c>
    </row>
    <row r="217" spans="1:23" ht="14.25">
      <c r="A217" s="22">
        <v>3</v>
      </c>
      <c r="B217" s="201"/>
      <c r="C217" s="204"/>
      <c r="D217" s="720"/>
      <c r="E217" s="204"/>
      <c r="F217" s="721"/>
      <c r="G217" s="201"/>
      <c r="H217" s="204"/>
      <c r="I217" s="682">
        <f t="shared" si="74"/>
        <v>0</v>
      </c>
      <c r="J217" s="216"/>
      <c r="K217" s="683">
        <f t="shared" si="68"/>
        <v>0</v>
      </c>
      <c r="L217" s="201"/>
      <c r="M217" s="204"/>
      <c r="N217" s="682">
        <f t="shared" si="71"/>
        <v>0</v>
      </c>
      <c r="O217" s="216"/>
      <c r="P217" s="719">
        <f t="shared" si="67"/>
        <v>0</v>
      </c>
      <c r="Q217" s="7"/>
      <c r="R217" s="678"/>
      <c r="S217" s="678"/>
      <c r="T217" s="678"/>
      <c r="U217" s="678"/>
      <c r="V217" s="678"/>
      <c r="W217" s="677">
        <f t="shared" si="65"/>
        <v>0</v>
      </c>
    </row>
    <row r="218" spans="1:23" ht="14.25">
      <c r="A218" s="22">
        <v>2</v>
      </c>
      <c r="B218" s="201">
        <v>5</v>
      </c>
      <c r="C218" s="204"/>
      <c r="D218" s="720"/>
      <c r="E218" s="204">
        <v>5</v>
      </c>
      <c r="F218" s="721">
        <v>1.1159159999999999</v>
      </c>
      <c r="G218" s="201">
        <v>2</v>
      </c>
      <c r="H218" s="204"/>
      <c r="I218" s="682">
        <f t="shared" si="74"/>
        <v>0</v>
      </c>
      <c r="J218" s="216">
        <f t="shared" si="70"/>
        <v>2</v>
      </c>
      <c r="K218" s="683">
        <f t="shared" si="68"/>
        <v>11.548920000000001</v>
      </c>
      <c r="L218" s="201">
        <v>2</v>
      </c>
      <c r="M218" s="204"/>
      <c r="N218" s="682">
        <f t="shared" si="71"/>
        <v>0</v>
      </c>
      <c r="O218" s="216">
        <f t="shared" si="72"/>
        <v>2</v>
      </c>
      <c r="P218" s="719">
        <f t="shared" si="67"/>
        <v>11.548920000000001</v>
      </c>
      <c r="Q218" s="7"/>
      <c r="R218" s="678">
        <v>1154892</v>
      </c>
      <c r="S218" s="678"/>
      <c r="T218" s="678"/>
      <c r="U218" s="678"/>
      <c r="V218" s="678"/>
      <c r="W218" s="677">
        <f t="shared" si="65"/>
        <v>0</v>
      </c>
    </row>
    <row r="219" spans="1:23" ht="14.25">
      <c r="A219" s="22">
        <v>1</v>
      </c>
      <c r="B219" s="201"/>
      <c r="C219" s="204"/>
      <c r="D219" s="720"/>
      <c r="E219" s="204"/>
      <c r="F219" s="721"/>
      <c r="G219" s="201"/>
      <c r="H219" s="204"/>
      <c r="I219" s="720"/>
      <c r="J219" s="204"/>
      <c r="K219" s="721"/>
      <c r="L219" s="201"/>
      <c r="M219" s="204"/>
      <c r="N219" s="720"/>
      <c r="O219" s="216"/>
      <c r="P219" s="721"/>
      <c r="Q219" s="7"/>
      <c r="R219" s="678"/>
      <c r="S219" s="678"/>
      <c r="T219" s="678"/>
      <c r="U219" s="678"/>
      <c r="V219" s="678"/>
      <c r="W219" s="677">
        <f t="shared" si="65"/>
        <v>0</v>
      </c>
    </row>
    <row r="220" spans="1:23">
      <c r="A220" s="339" t="s">
        <v>138</v>
      </c>
      <c r="B220" s="340">
        <f>SUM(B198:B219)</f>
        <v>40</v>
      </c>
      <c r="C220" s="340">
        <f t="shared" ref="C220:P220" si="75">SUM(C198:C219)</f>
        <v>28</v>
      </c>
      <c r="D220" s="341">
        <f t="shared" si="75"/>
        <v>14.772480000000002</v>
      </c>
      <c r="E220" s="340">
        <f t="shared" si="75"/>
        <v>12</v>
      </c>
      <c r="F220" s="341">
        <f t="shared" si="75"/>
        <v>3.4782359999999999</v>
      </c>
      <c r="G220" s="340">
        <f t="shared" si="75"/>
        <v>37</v>
      </c>
      <c r="H220" s="340">
        <f t="shared" si="75"/>
        <v>25</v>
      </c>
      <c r="I220" s="341">
        <f t="shared" si="75"/>
        <v>14.074119999999997</v>
      </c>
      <c r="J220" s="340">
        <f t="shared" si="75"/>
        <v>12</v>
      </c>
      <c r="K220" s="341">
        <f t="shared" si="75"/>
        <v>46.892000000000003</v>
      </c>
      <c r="L220" s="340">
        <f t="shared" si="75"/>
        <v>37</v>
      </c>
      <c r="M220" s="340">
        <f t="shared" si="75"/>
        <v>25</v>
      </c>
      <c r="N220" s="341">
        <f t="shared" si="75"/>
        <v>14.480639999999998</v>
      </c>
      <c r="O220" s="340">
        <f t="shared" si="75"/>
        <v>12</v>
      </c>
      <c r="P220" s="712">
        <f t="shared" si="75"/>
        <v>46.892000000000003</v>
      </c>
    </row>
    <row r="221" spans="1:23" ht="18">
      <c r="A221" s="1429" t="s">
        <v>1317</v>
      </c>
      <c r="B221" s="1429"/>
      <c r="C221" s="1429"/>
      <c r="D221" s="1429"/>
      <c r="E221" s="1429"/>
      <c r="F221" s="1429"/>
      <c r="G221" s="1429"/>
      <c r="H221" s="1429"/>
      <c r="I221" s="1429"/>
      <c r="J221" s="1429"/>
      <c r="K221" s="1429"/>
      <c r="L221" s="1429"/>
      <c r="M221" s="1429"/>
      <c r="N221" s="1429"/>
      <c r="O221" s="1429"/>
      <c r="P221" s="1429"/>
      <c r="Q221" s="7"/>
      <c r="R221" s="678"/>
      <c r="S221" s="678"/>
      <c r="T221" s="678"/>
      <c r="U221" s="678"/>
      <c r="V221" s="678"/>
      <c r="W221" s="7"/>
    </row>
    <row r="222" spans="1:23">
      <c r="A222" s="1434" t="s">
        <v>873</v>
      </c>
      <c r="B222" s="1437" t="str">
        <f>+$B$6</f>
        <v>Status during last FY 2017-18</v>
      </c>
      <c r="C222" s="1438"/>
      <c r="D222" s="1438"/>
      <c r="E222" s="1438"/>
      <c r="F222" s="1439"/>
      <c r="G222" s="1437" t="str">
        <f>+$G$6</f>
        <v>Status during current FY 2018-19</v>
      </c>
      <c r="H222" s="1438"/>
      <c r="I222" s="1438"/>
      <c r="J222" s="1438"/>
      <c r="K222" s="1439"/>
      <c r="L222" s="1437" t="str">
        <f>+$L$6</f>
        <v>Planned for next FY 2019-20</v>
      </c>
      <c r="M222" s="1438"/>
      <c r="N222" s="1438"/>
      <c r="O222" s="1438"/>
      <c r="P222" s="1439"/>
      <c r="Q222" s="7"/>
      <c r="R222" s="678"/>
      <c r="S222" s="678"/>
      <c r="T222" s="678"/>
      <c r="U222" s="678"/>
      <c r="V222" s="678"/>
      <c r="W222" s="7"/>
    </row>
    <row r="223" spans="1:23">
      <c r="A223" s="1435"/>
      <c r="B223" s="1431" t="s">
        <v>872</v>
      </c>
      <c r="C223" s="1411" t="s">
        <v>134</v>
      </c>
      <c r="D223" s="1411"/>
      <c r="E223" s="1412" t="s">
        <v>135</v>
      </c>
      <c r="F223" s="1413"/>
      <c r="G223" s="1431" t="s">
        <v>869</v>
      </c>
      <c r="H223" s="1411" t="s">
        <v>134</v>
      </c>
      <c r="I223" s="1411"/>
      <c r="J223" s="1412" t="s">
        <v>135</v>
      </c>
      <c r="K223" s="1413"/>
      <c r="L223" s="1431" t="s">
        <v>869</v>
      </c>
      <c r="M223" s="1411" t="s">
        <v>134</v>
      </c>
      <c r="N223" s="1411"/>
      <c r="O223" s="1412" t="s">
        <v>135</v>
      </c>
      <c r="P223" s="1413"/>
      <c r="Q223" s="7"/>
      <c r="R223" s="1433" t="s">
        <v>1310</v>
      </c>
      <c r="S223" s="1433"/>
      <c r="T223" s="1433"/>
      <c r="U223" s="1430" t="s">
        <v>1311</v>
      </c>
      <c r="V223" s="1430"/>
      <c r="W223" s="1430"/>
    </row>
    <row r="224" spans="1:23" ht="42.75">
      <c r="A224" s="1436"/>
      <c r="B224" s="1432"/>
      <c r="C224" s="199" t="s">
        <v>153</v>
      </c>
      <c r="D224" s="665" t="s">
        <v>868</v>
      </c>
      <c r="E224" s="199" t="s">
        <v>153</v>
      </c>
      <c r="F224" s="666" t="s">
        <v>868</v>
      </c>
      <c r="G224" s="1432"/>
      <c r="H224" s="199" t="s">
        <v>153</v>
      </c>
      <c r="I224" s="665" t="s">
        <v>868</v>
      </c>
      <c r="J224" s="199" t="s">
        <v>153</v>
      </c>
      <c r="K224" s="666" t="s">
        <v>868</v>
      </c>
      <c r="L224" s="1432"/>
      <c r="M224" s="199" t="s">
        <v>153</v>
      </c>
      <c r="N224" s="665" t="s">
        <v>868</v>
      </c>
      <c r="O224" s="199" t="s">
        <v>153</v>
      </c>
      <c r="P224" s="666" t="s">
        <v>868</v>
      </c>
      <c r="Q224" s="7"/>
      <c r="R224" s="714" t="s">
        <v>1313</v>
      </c>
      <c r="S224" s="715" t="s">
        <v>1314</v>
      </c>
      <c r="T224" s="714"/>
      <c r="U224" s="714" t="s">
        <v>1313</v>
      </c>
      <c r="V224" s="715" t="s">
        <v>1314</v>
      </c>
      <c r="W224" s="309"/>
    </row>
    <row r="225" spans="1:23" ht="14.25">
      <c r="A225" s="708">
        <v>22</v>
      </c>
      <c r="B225" s="716"/>
      <c r="C225" s="717"/>
      <c r="D225" s="213"/>
      <c r="E225" s="717"/>
      <c r="F225" s="214"/>
      <c r="G225" s="716"/>
      <c r="H225" s="717"/>
      <c r="I225" s="675"/>
      <c r="J225" s="717"/>
      <c r="K225" s="674"/>
      <c r="L225" s="716"/>
      <c r="M225" s="717"/>
      <c r="N225" s="213"/>
      <c r="O225" s="717"/>
      <c r="P225" s="718"/>
      <c r="Q225" s="7"/>
      <c r="R225" s="678"/>
      <c r="S225" s="678"/>
      <c r="T225" s="678"/>
      <c r="U225" s="678"/>
      <c r="V225" s="678"/>
      <c r="W225" s="677">
        <f t="shared" ref="W225:W246" si="76">SUM(U225-V225)</f>
        <v>0</v>
      </c>
    </row>
    <row r="226" spans="1:23" ht="14.25">
      <c r="A226" s="14">
        <v>21</v>
      </c>
      <c r="B226" s="215"/>
      <c r="C226" s="216"/>
      <c r="D226" s="217"/>
      <c r="E226" s="216"/>
      <c r="F226" s="218"/>
      <c r="G226" s="215"/>
      <c r="H226" s="216"/>
      <c r="I226" s="682"/>
      <c r="J226" s="216"/>
      <c r="K226" s="683"/>
      <c r="L226" s="215"/>
      <c r="M226" s="216"/>
      <c r="N226" s="217"/>
      <c r="O226" s="216"/>
      <c r="P226" s="719">
        <f>+K226</f>
        <v>0</v>
      </c>
      <c r="Q226" s="7"/>
      <c r="R226" s="678"/>
      <c r="S226" s="678"/>
      <c r="T226" s="678"/>
      <c r="U226" s="678"/>
      <c r="V226" s="678"/>
      <c r="W226" s="677">
        <f t="shared" si="76"/>
        <v>0</v>
      </c>
    </row>
    <row r="227" spans="1:23" ht="14.25">
      <c r="A227" s="14">
        <v>20</v>
      </c>
      <c r="B227" s="215"/>
      <c r="C227" s="216"/>
      <c r="D227" s="217"/>
      <c r="E227" s="216"/>
      <c r="F227" s="218"/>
      <c r="G227" s="215"/>
      <c r="H227" s="216"/>
      <c r="I227" s="682">
        <f t="shared" ref="I227:I228" si="77">SUM(S227/1000000)</f>
        <v>0</v>
      </c>
      <c r="J227" s="216"/>
      <c r="K227" s="683">
        <f t="shared" ref="K227:K245" si="78">SUM(R227-S227)/100000</f>
        <v>0</v>
      </c>
      <c r="L227" s="215"/>
      <c r="M227" s="216"/>
      <c r="N227" s="217"/>
      <c r="O227" s="216"/>
      <c r="P227" s="719">
        <f t="shared" ref="P227:P245" si="79">+K227</f>
        <v>0</v>
      </c>
      <c r="Q227" s="7"/>
      <c r="R227" s="678"/>
      <c r="S227" s="678"/>
      <c r="T227" s="678"/>
      <c r="U227" s="678"/>
      <c r="V227" s="678"/>
      <c r="W227" s="677">
        <f t="shared" si="76"/>
        <v>0</v>
      </c>
    </row>
    <row r="228" spans="1:23" ht="14.25">
      <c r="A228" s="710">
        <v>19</v>
      </c>
      <c r="B228" s="215"/>
      <c r="C228" s="216"/>
      <c r="D228" s="217"/>
      <c r="E228" s="216"/>
      <c r="F228" s="218"/>
      <c r="G228" s="215"/>
      <c r="H228" s="216"/>
      <c r="I228" s="682">
        <f t="shared" si="77"/>
        <v>0</v>
      </c>
      <c r="J228" s="216"/>
      <c r="K228" s="683">
        <f t="shared" si="78"/>
        <v>0</v>
      </c>
      <c r="L228" s="215"/>
      <c r="M228" s="216"/>
      <c r="N228" s="217"/>
      <c r="O228" s="216"/>
      <c r="P228" s="719">
        <f t="shared" si="79"/>
        <v>0</v>
      </c>
      <c r="Q228" s="7"/>
      <c r="R228" s="678"/>
      <c r="S228" s="678"/>
      <c r="T228" s="678"/>
      <c r="U228" s="678"/>
      <c r="V228" s="678"/>
      <c r="W228" s="677">
        <f t="shared" si="76"/>
        <v>0</v>
      </c>
    </row>
    <row r="229" spans="1:23" ht="14.25">
      <c r="A229" s="14">
        <v>18</v>
      </c>
      <c r="B229" s="215"/>
      <c r="C229" s="216"/>
      <c r="D229" s="217"/>
      <c r="E229" s="216"/>
      <c r="F229" s="218"/>
      <c r="G229" s="215"/>
      <c r="H229" s="216"/>
      <c r="I229" s="682">
        <f>SUM(S229/1000000)</f>
        <v>0</v>
      </c>
      <c r="J229" s="216"/>
      <c r="K229" s="683">
        <f t="shared" si="78"/>
        <v>0</v>
      </c>
      <c r="L229" s="215"/>
      <c r="M229" s="216"/>
      <c r="N229" s="217"/>
      <c r="O229" s="216"/>
      <c r="P229" s="719">
        <f t="shared" si="79"/>
        <v>0</v>
      </c>
      <c r="Q229" s="7"/>
      <c r="R229" s="678"/>
      <c r="S229" s="678"/>
      <c r="T229" s="678"/>
      <c r="U229" s="678"/>
      <c r="V229" s="678"/>
      <c r="W229" s="677">
        <f t="shared" si="76"/>
        <v>0</v>
      </c>
    </row>
    <row r="230" spans="1:23" ht="14.25">
      <c r="A230" s="14">
        <v>17</v>
      </c>
      <c r="B230" s="215">
        <v>2</v>
      </c>
      <c r="C230" s="216">
        <v>1</v>
      </c>
      <c r="D230" s="217">
        <v>1.226952</v>
      </c>
      <c r="E230" s="216">
        <v>1</v>
      </c>
      <c r="F230" s="218">
        <v>0.65824800000000006</v>
      </c>
      <c r="G230" s="215">
        <v>2</v>
      </c>
      <c r="H230" s="216">
        <v>1</v>
      </c>
      <c r="I230" s="682">
        <f t="shared" ref="I230:I233" si="80">SUM(S230/1000000)</f>
        <v>1.321428</v>
      </c>
      <c r="J230" s="216">
        <f t="shared" ref="J230:J245" si="81">SUM(G230-H230)</f>
        <v>1</v>
      </c>
      <c r="K230" s="683">
        <f t="shared" si="78"/>
        <v>7.2129599999999998</v>
      </c>
      <c r="L230" s="215">
        <v>2</v>
      </c>
      <c r="M230" s="216">
        <v>1</v>
      </c>
      <c r="N230" s="682">
        <f t="shared" ref="N230:N245" si="82">SUM(U230/1000000)</f>
        <v>1.3545480000000001</v>
      </c>
      <c r="O230" s="216">
        <f t="shared" ref="O230:O245" si="83">SUM(L230-M230)</f>
        <v>1</v>
      </c>
      <c r="P230" s="719">
        <f t="shared" si="79"/>
        <v>7.2129599999999998</v>
      </c>
      <c r="Q230" s="7"/>
      <c r="R230" s="678">
        <v>2042724</v>
      </c>
      <c r="S230" s="678">
        <v>1321428</v>
      </c>
      <c r="T230" s="678"/>
      <c r="U230" s="678">
        <v>1354548</v>
      </c>
      <c r="V230" s="678"/>
      <c r="W230" s="677">
        <f t="shared" si="76"/>
        <v>1354548</v>
      </c>
    </row>
    <row r="231" spans="1:23" ht="14.25">
      <c r="A231" s="14">
        <v>16</v>
      </c>
      <c r="B231" s="200">
        <v>7</v>
      </c>
      <c r="C231" s="204">
        <v>4</v>
      </c>
      <c r="D231" s="720">
        <v>3.4173239999999998</v>
      </c>
      <c r="E231" s="204">
        <v>3</v>
      </c>
      <c r="F231" s="721">
        <v>1.3497840000000001</v>
      </c>
      <c r="G231" s="200">
        <v>7</v>
      </c>
      <c r="H231" s="204">
        <v>4</v>
      </c>
      <c r="I231" s="682">
        <f t="shared" si="80"/>
        <v>3.500448</v>
      </c>
      <c r="J231" s="216">
        <f t="shared" si="81"/>
        <v>3</v>
      </c>
      <c r="K231" s="683">
        <f t="shared" si="78"/>
        <v>14.669639999999999</v>
      </c>
      <c r="L231" s="200">
        <v>7</v>
      </c>
      <c r="M231" s="204">
        <v>4</v>
      </c>
      <c r="N231" s="682">
        <f t="shared" si="82"/>
        <v>3.5880000000000001</v>
      </c>
      <c r="O231" s="216">
        <f t="shared" si="83"/>
        <v>3</v>
      </c>
      <c r="P231" s="719">
        <f t="shared" si="79"/>
        <v>14.669639999999999</v>
      </c>
      <c r="Q231" s="7"/>
      <c r="R231" s="678">
        <v>4967412</v>
      </c>
      <c r="S231" s="678">
        <v>3500448</v>
      </c>
      <c r="T231" s="678"/>
      <c r="U231" s="678">
        <v>3588000</v>
      </c>
      <c r="V231" s="678"/>
      <c r="W231" s="677">
        <f t="shared" si="76"/>
        <v>3588000</v>
      </c>
    </row>
    <row r="232" spans="1:23" ht="14.25">
      <c r="A232" s="14">
        <v>15</v>
      </c>
      <c r="B232" s="200">
        <v>3</v>
      </c>
      <c r="C232" s="204">
        <v>3</v>
      </c>
      <c r="D232" s="720">
        <v>2.1971880000000001</v>
      </c>
      <c r="E232" s="204"/>
      <c r="F232" s="721"/>
      <c r="G232" s="200">
        <v>2</v>
      </c>
      <c r="H232" s="204">
        <v>2</v>
      </c>
      <c r="I232" s="682">
        <f t="shared" si="80"/>
        <v>1.5435840000000001</v>
      </c>
      <c r="J232" s="216"/>
      <c r="K232" s="683">
        <f t="shared" si="78"/>
        <v>0</v>
      </c>
      <c r="L232" s="200">
        <v>2</v>
      </c>
      <c r="M232" s="204">
        <v>2</v>
      </c>
      <c r="N232" s="682">
        <f t="shared" si="82"/>
        <v>1.581888</v>
      </c>
      <c r="O232" s="216"/>
      <c r="P232" s="719">
        <f t="shared" si="79"/>
        <v>0</v>
      </c>
      <c r="Q232" s="7"/>
      <c r="R232" s="678">
        <v>1543584</v>
      </c>
      <c r="S232" s="678">
        <f>+R232</f>
        <v>1543584</v>
      </c>
      <c r="T232" s="678"/>
      <c r="U232" s="678">
        <v>1581888</v>
      </c>
      <c r="V232" s="678"/>
      <c r="W232" s="677">
        <f t="shared" si="76"/>
        <v>1581888</v>
      </c>
    </row>
    <row r="233" spans="1:23" ht="14.25">
      <c r="A233" s="22">
        <v>14</v>
      </c>
      <c r="B233" s="726"/>
      <c r="C233" s="204"/>
      <c r="D233" s="720"/>
      <c r="E233" s="204"/>
      <c r="F233" s="721"/>
      <c r="G233" s="201">
        <v>1</v>
      </c>
      <c r="H233" s="204">
        <v>1</v>
      </c>
      <c r="I233" s="682">
        <f t="shared" si="80"/>
        <v>0.51800400000000002</v>
      </c>
      <c r="J233" s="216"/>
      <c r="K233" s="683">
        <f t="shared" si="78"/>
        <v>0</v>
      </c>
      <c r="L233" s="201">
        <v>1</v>
      </c>
      <c r="M233" s="204">
        <v>1</v>
      </c>
      <c r="N233" s="682">
        <f t="shared" si="82"/>
        <v>0.53485199999999999</v>
      </c>
      <c r="O233" s="216"/>
      <c r="P233" s="719">
        <f t="shared" si="79"/>
        <v>0</v>
      </c>
      <c r="Q233" s="7"/>
      <c r="R233" s="678">
        <v>518004</v>
      </c>
      <c r="S233" s="678">
        <f>+R233</f>
        <v>518004</v>
      </c>
      <c r="T233" s="678"/>
      <c r="U233" s="678">
        <v>534852</v>
      </c>
      <c r="V233" s="678"/>
      <c r="W233" s="677">
        <f t="shared" si="76"/>
        <v>534852</v>
      </c>
    </row>
    <row r="234" spans="1:23" ht="14.25">
      <c r="A234" s="22">
        <v>13</v>
      </c>
      <c r="B234" s="201"/>
      <c r="C234" s="204"/>
      <c r="D234" s="720"/>
      <c r="E234" s="204"/>
      <c r="F234" s="721"/>
      <c r="G234" s="201"/>
      <c r="H234" s="204"/>
      <c r="I234" s="682"/>
      <c r="J234" s="216"/>
      <c r="K234" s="683">
        <f t="shared" si="78"/>
        <v>0</v>
      </c>
      <c r="L234" s="201"/>
      <c r="M234" s="204"/>
      <c r="N234" s="682">
        <f t="shared" si="82"/>
        <v>0</v>
      </c>
      <c r="O234" s="216"/>
      <c r="P234" s="719">
        <f t="shared" si="79"/>
        <v>0</v>
      </c>
      <c r="Q234" s="7"/>
      <c r="R234" s="678"/>
      <c r="S234" s="678"/>
      <c r="T234" s="678"/>
      <c r="U234" s="678"/>
      <c r="V234" s="678"/>
      <c r="W234" s="677">
        <f t="shared" si="76"/>
        <v>0</v>
      </c>
    </row>
    <row r="235" spans="1:23" ht="14.25">
      <c r="A235" s="22">
        <v>12</v>
      </c>
      <c r="B235" s="201"/>
      <c r="C235" s="204"/>
      <c r="D235" s="720"/>
      <c r="E235" s="204"/>
      <c r="F235" s="721"/>
      <c r="G235" s="201"/>
      <c r="H235" s="204"/>
      <c r="I235" s="682">
        <f t="shared" ref="I235:I236" si="84">SUM(S235/1000000)</f>
        <v>0</v>
      </c>
      <c r="J235" s="216"/>
      <c r="K235" s="683">
        <f t="shared" si="78"/>
        <v>0</v>
      </c>
      <c r="L235" s="201"/>
      <c r="M235" s="204"/>
      <c r="N235" s="682">
        <f t="shared" si="82"/>
        <v>0</v>
      </c>
      <c r="O235" s="216"/>
      <c r="P235" s="719">
        <f t="shared" si="79"/>
        <v>0</v>
      </c>
      <c r="Q235" s="7"/>
      <c r="R235" s="678"/>
      <c r="S235" s="678"/>
      <c r="T235" s="678"/>
      <c r="U235" s="678"/>
      <c r="V235" s="678"/>
      <c r="W235" s="677">
        <f t="shared" si="76"/>
        <v>0</v>
      </c>
    </row>
    <row r="236" spans="1:23" ht="14.25">
      <c r="A236" s="22">
        <v>11</v>
      </c>
      <c r="B236" s="726">
        <v>1</v>
      </c>
      <c r="C236" s="204"/>
      <c r="D236" s="720"/>
      <c r="E236" s="204">
        <v>1</v>
      </c>
      <c r="F236" s="721">
        <v>0.29310000000000003</v>
      </c>
      <c r="G236" s="201">
        <v>1</v>
      </c>
      <c r="H236" s="204"/>
      <c r="I236" s="682">
        <f t="shared" si="84"/>
        <v>0</v>
      </c>
      <c r="J236" s="216">
        <f t="shared" si="81"/>
        <v>1</v>
      </c>
      <c r="K236" s="683">
        <f t="shared" si="78"/>
        <v>3.1929599999999998</v>
      </c>
      <c r="L236" s="201">
        <v>1</v>
      </c>
      <c r="M236" s="204"/>
      <c r="N236" s="682">
        <f t="shared" si="82"/>
        <v>0</v>
      </c>
      <c r="O236" s="216">
        <f t="shared" si="83"/>
        <v>1</v>
      </c>
      <c r="P236" s="719">
        <f t="shared" si="79"/>
        <v>3.1929599999999998</v>
      </c>
      <c r="Q236" s="7"/>
      <c r="R236" s="678">
        <v>319296</v>
      </c>
      <c r="S236" s="678"/>
      <c r="T236" s="678"/>
      <c r="U236" s="678"/>
      <c r="V236" s="678"/>
      <c r="W236" s="677">
        <f t="shared" si="76"/>
        <v>0</v>
      </c>
    </row>
    <row r="237" spans="1:23" ht="14.25">
      <c r="A237" s="22">
        <v>10</v>
      </c>
      <c r="B237" s="201"/>
      <c r="C237" s="204"/>
      <c r="D237" s="720"/>
      <c r="E237" s="204"/>
      <c r="F237" s="721"/>
      <c r="G237" s="201"/>
      <c r="H237" s="204"/>
      <c r="I237" s="682"/>
      <c r="J237" s="216"/>
      <c r="K237" s="683">
        <f t="shared" si="78"/>
        <v>0</v>
      </c>
      <c r="L237" s="201"/>
      <c r="M237" s="204"/>
      <c r="N237" s="682">
        <f t="shared" si="82"/>
        <v>0</v>
      </c>
      <c r="O237" s="216"/>
      <c r="P237" s="719">
        <f t="shared" si="79"/>
        <v>0</v>
      </c>
      <c r="Q237" s="7"/>
      <c r="R237" s="678"/>
      <c r="S237" s="678"/>
      <c r="T237" s="678"/>
      <c r="U237" s="678"/>
      <c r="V237" s="678"/>
      <c r="W237" s="677">
        <f t="shared" si="76"/>
        <v>0</v>
      </c>
    </row>
    <row r="238" spans="1:23" ht="14.25">
      <c r="A238" s="22">
        <v>9</v>
      </c>
      <c r="B238" s="201"/>
      <c r="C238" s="204"/>
      <c r="D238" s="720"/>
      <c r="E238" s="204"/>
      <c r="F238" s="721"/>
      <c r="G238" s="201"/>
      <c r="H238" s="204"/>
      <c r="I238" s="682"/>
      <c r="J238" s="216"/>
      <c r="K238" s="683">
        <f t="shared" si="78"/>
        <v>0</v>
      </c>
      <c r="L238" s="201"/>
      <c r="M238" s="204"/>
      <c r="N238" s="682">
        <f t="shared" si="82"/>
        <v>0</v>
      </c>
      <c r="O238" s="216"/>
      <c r="P238" s="719">
        <f t="shared" si="79"/>
        <v>0</v>
      </c>
      <c r="Q238" s="7"/>
      <c r="R238" s="678"/>
      <c r="S238" s="678"/>
      <c r="T238" s="678"/>
      <c r="U238" s="678"/>
      <c r="V238" s="678"/>
      <c r="W238" s="677">
        <f t="shared" si="76"/>
        <v>0</v>
      </c>
    </row>
    <row r="239" spans="1:23" ht="14.25">
      <c r="A239" s="22">
        <v>8</v>
      </c>
      <c r="B239" s="201">
        <v>2</v>
      </c>
      <c r="C239" s="204">
        <v>2</v>
      </c>
      <c r="D239" s="720">
        <v>1.0079640000000001</v>
      </c>
      <c r="E239" s="204"/>
      <c r="F239" s="721"/>
      <c r="G239" s="201">
        <v>2</v>
      </c>
      <c r="H239" s="204">
        <v>2</v>
      </c>
      <c r="I239" s="682">
        <f t="shared" ref="I239:I245" si="85">SUM(S239/1000000)</f>
        <v>1.0880879999999999</v>
      </c>
      <c r="J239" s="216"/>
      <c r="K239" s="683">
        <f t="shared" si="78"/>
        <v>0</v>
      </c>
      <c r="L239" s="201">
        <v>2</v>
      </c>
      <c r="M239" s="204">
        <v>2</v>
      </c>
      <c r="N239" s="682">
        <f t="shared" si="82"/>
        <v>1.1101920000000001</v>
      </c>
      <c r="O239" s="216"/>
      <c r="P239" s="719">
        <f t="shared" si="79"/>
        <v>0</v>
      </c>
      <c r="Q239" s="7"/>
      <c r="R239" s="678">
        <v>1088088</v>
      </c>
      <c r="S239" s="678">
        <f>+R239</f>
        <v>1088088</v>
      </c>
      <c r="T239" s="678"/>
      <c r="U239" s="678">
        <v>1110192</v>
      </c>
      <c r="V239" s="678"/>
      <c r="W239" s="677">
        <f t="shared" si="76"/>
        <v>1110192</v>
      </c>
    </row>
    <row r="240" spans="1:23" ht="14.25">
      <c r="A240" s="22">
        <v>7</v>
      </c>
      <c r="B240" s="726">
        <v>8</v>
      </c>
      <c r="C240" s="204">
        <v>8</v>
      </c>
      <c r="D240" s="720">
        <v>3.7589039999999998</v>
      </c>
      <c r="E240" s="204"/>
      <c r="F240" s="721"/>
      <c r="G240" s="201">
        <v>8</v>
      </c>
      <c r="H240" s="204">
        <v>8</v>
      </c>
      <c r="I240" s="682">
        <f t="shared" si="85"/>
        <v>4.05342</v>
      </c>
      <c r="J240" s="216"/>
      <c r="K240" s="683">
        <f t="shared" si="78"/>
        <v>0</v>
      </c>
      <c r="L240" s="201">
        <v>8</v>
      </c>
      <c r="M240" s="204">
        <v>8</v>
      </c>
      <c r="N240" s="682">
        <f t="shared" si="82"/>
        <v>4.1364840000000003</v>
      </c>
      <c r="O240" s="216"/>
      <c r="P240" s="719">
        <f t="shared" si="79"/>
        <v>0</v>
      </c>
      <c r="Q240" s="7"/>
      <c r="R240" s="678">
        <v>4053420</v>
      </c>
      <c r="S240" s="678">
        <f>+R240</f>
        <v>4053420</v>
      </c>
      <c r="T240" s="678"/>
      <c r="U240" s="678">
        <v>4136484</v>
      </c>
      <c r="V240" s="678"/>
      <c r="W240" s="677">
        <f t="shared" si="76"/>
        <v>4136484</v>
      </c>
    </row>
    <row r="241" spans="1:23" ht="14.25">
      <c r="A241" s="22">
        <v>6</v>
      </c>
      <c r="B241" s="201">
        <v>11</v>
      </c>
      <c r="C241" s="204">
        <v>11</v>
      </c>
      <c r="D241" s="720">
        <v>4.4785919999999999</v>
      </c>
      <c r="E241" s="204"/>
      <c r="F241" s="721"/>
      <c r="G241" s="201">
        <v>11</v>
      </c>
      <c r="H241" s="204">
        <v>11</v>
      </c>
      <c r="I241" s="682">
        <f t="shared" si="85"/>
        <v>4.8440760000000003</v>
      </c>
      <c r="J241" s="216"/>
      <c r="K241" s="683">
        <f t="shared" si="78"/>
        <v>0</v>
      </c>
      <c r="L241" s="201">
        <v>11</v>
      </c>
      <c r="M241" s="204">
        <v>11</v>
      </c>
      <c r="N241" s="682">
        <f t="shared" si="82"/>
        <v>4.9586519999999998</v>
      </c>
      <c r="O241" s="216"/>
      <c r="P241" s="719">
        <f t="shared" si="79"/>
        <v>0</v>
      </c>
      <c r="Q241" s="7"/>
      <c r="R241" s="678">
        <v>4844076</v>
      </c>
      <c r="S241" s="678">
        <f>+R241</f>
        <v>4844076</v>
      </c>
      <c r="T241" s="678"/>
      <c r="U241" s="678">
        <v>4958652</v>
      </c>
      <c r="V241" s="678"/>
      <c r="W241" s="677">
        <f t="shared" si="76"/>
        <v>4958652</v>
      </c>
    </row>
    <row r="242" spans="1:23" ht="14.25">
      <c r="A242" s="22">
        <v>5</v>
      </c>
      <c r="B242" s="726">
        <v>11</v>
      </c>
      <c r="C242" s="204">
        <v>9</v>
      </c>
      <c r="D242" s="720">
        <v>3.4839359999999999</v>
      </c>
      <c r="E242" s="204">
        <v>2</v>
      </c>
      <c r="F242" s="721">
        <v>0.46610400000000002</v>
      </c>
      <c r="G242" s="201">
        <v>12</v>
      </c>
      <c r="H242" s="204">
        <v>7</v>
      </c>
      <c r="I242" s="682">
        <f t="shared" si="85"/>
        <v>2.7582840000000002</v>
      </c>
      <c r="J242" s="216">
        <f t="shared" si="81"/>
        <v>5</v>
      </c>
      <c r="K242" s="683">
        <f t="shared" si="78"/>
        <v>5.0877600000000003</v>
      </c>
      <c r="L242" s="201">
        <v>12</v>
      </c>
      <c r="M242" s="204">
        <v>7</v>
      </c>
      <c r="N242" s="682">
        <f t="shared" si="82"/>
        <v>2.8233839999999999</v>
      </c>
      <c r="O242" s="216">
        <f t="shared" si="83"/>
        <v>5</v>
      </c>
      <c r="P242" s="719">
        <f t="shared" si="79"/>
        <v>5.0877600000000003</v>
      </c>
      <c r="Q242" s="7"/>
      <c r="R242" s="678">
        <v>3267060</v>
      </c>
      <c r="S242" s="678">
        <v>2758284</v>
      </c>
      <c r="T242" s="678"/>
      <c r="U242" s="678">
        <v>2823384</v>
      </c>
      <c r="V242" s="678"/>
      <c r="W242" s="677">
        <f t="shared" si="76"/>
        <v>2823384</v>
      </c>
    </row>
    <row r="243" spans="1:23" ht="14.25">
      <c r="A243" s="22">
        <v>4</v>
      </c>
      <c r="B243" s="726">
        <v>10</v>
      </c>
      <c r="C243" s="204">
        <v>10</v>
      </c>
      <c r="D243" s="720">
        <v>2.984172</v>
      </c>
      <c r="E243" s="204"/>
      <c r="F243" s="721"/>
      <c r="G243" s="201">
        <v>9</v>
      </c>
      <c r="H243" s="204">
        <v>9</v>
      </c>
      <c r="I243" s="682">
        <f t="shared" si="85"/>
        <v>2.9154719999999998</v>
      </c>
      <c r="J243" s="216"/>
      <c r="K243" s="683">
        <f t="shared" si="78"/>
        <v>0</v>
      </c>
      <c r="L243" s="201">
        <v>9</v>
      </c>
      <c r="M243" s="204">
        <v>9</v>
      </c>
      <c r="N243" s="682">
        <f t="shared" si="82"/>
        <v>2.989128</v>
      </c>
      <c r="O243" s="216"/>
      <c r="P243" s="719">
        <f t="shared" si="79"/>
        <v>0</v>
      </c>
      <c r="Q243" s="7"/>
      <c r="R243" s="678">
        <v>2915472</v>
      </c>
      <c r="S243" s="678">
        <f>+R243</f>
        <v>2915472</v>
      </c>
      <c r="T243" s="678"/>
      <c r="U243" s="678">
        <v>2989128</v>
      </c>
      <c r="V243" s="678"/>
      <c r="W243" s="677">
        <f t="shared" si="76"/>
        <v>2989128</v>
      </c>
    </row>
    <row r="244" spans="1:23" ht="14.25">
      <c r="A244" s="22">
        <v>3</v>
      </c>
      <c r="B244" s="726"/>
      <c r="C244" s="204"/>
      <c r="D244" s="720"/>
      <c r="E244" s="204"/>
      <c r="F244" s="721"/>
      <c r="G244" s="201"/>
      <c r="H244" s="204"/>
      <c r="I244" s="682">
        <f t="shared" si="85"/>
        <v>0</v>
      </c>
      <c r="J244" s="216"/>
      <c r="K244" s="683">
        <f t="shared" si="78"/>
        <v>0</v>
      </c>
      <c r="L244" s="201"/>
      <c r="M244" s="204"/>
      <c r="N244" s="682">
        <f t="shared" si="82"/>
        <v>0</v>
      </c>
      <c r="O244" s="216"/>
      <c r="P244" s="719">
        <f t="shared" si="79"/>
        <v>0</v>
      </c>
      <c r="Q244" s="7"/>
      <c r="R244" s="678"/>
      <c r="S244" s="678"/>
      <c r="T244" s="678"/>
      <c r="U244" s="678"/>
      <c r="V244" s="678"/>
      <c r="W244" s="677">
        <f t="shared" si="76"/>
        <v>0</v>
      </c>
    </row>
    <row r="245" spans="1:23" ht="14.25">
      <c r="A245" s="22">
        <v>2</v>
      </c>
      <c r="B245" s="726">
        <v>2</v>
      </c>
      <c r="C245" s="204"/>
      <c r="D245" s="720"/>
      <c r="E245" s="204">
        <v>2</v>
      </c>
      <c r="F245" s="721">
        <v>0.433056</v>
      </c>
      <c r="G245" s="201">
        <v>5</v>
      </c>
      <c r="H245" s="204"/>
      <c r="I245" s="682">
        <f t="shared" si="85"/>
        <v>0</v>
      </c>
      <c r="J245" s="216">
        <f t="shared" si="81"/>
        <v>5</v>
      </c>
      <c r="K245" s="683">
        <f t="shared" si="78"/>
        <v>11.44092</v>
      </c>
      <c r="L245" s="201">
        <v>5</v>
      </c>
      <c r="M245" s="204"/>
      <c r="N245" s="682">
        <f t="shared" si="82"/>
        <v>0</v>
      </c>
      <c r="O245" s="216">
        <f t="shared" si="83"/>
        <v>5</v>
      </c>
      <c r="P245" s="719">
        <f t="shared" si="79"/>
        <v>11.44092</v>
      </c>
      <c r="Q245" s="7"/>
      <c r="R245" s="678">
        <v>1144092</v>
      </c>
      <c r="S245" s="678"/>
      <c r="T245" s="678"/>
      <c r="U245" s="678"/>
      <c r="V245" s="678"/>
      <c r="W245" s="677">
        <f t="shared" si="76"/>
        <v>0</v>
      </c>
    </row>
    <row r="246" spans="1:23">
      <c r="A246" s="22">
        <v>1</v>
      </c>
      <c r="B246" s="201"/>
      <c r="C246" s="204"/>
      <c r="D246" s="720"/>
      <c r="E246" s="204"/>
      <c r="F246" s="721"/>
      <c r="G246" s="722"/>
      <c r="H246" s="204"/>
      <c r="I246" s="720"/>
      <c r="J246" s="204"/>
      <c r="K246" s="721"/>
      <c r="L246" s="201"/>
      <c r="M246" s="204"/>
      <c r="N246" s="720"/>
      <c r="O246" s="216"/>
      <c r="P246" s="721"/>
      <c r="Q246" s="7"/>
      <c r="R246" s="678"/>
      <c r="S246" s="678"/>
      <c r="T246" s="678"/>
      <c r="U246" s="678"/>
      <c r="V246" s="678"/>
      <c r="W246" s="677">
        <f t="shared" si="76"/>
        <v>0</v>
      </c>
    </row>
    <row r="247" spans="1:23">
      <c r="A247" s="339" t="s">
        <v>138</v>
      </c>
      <c r="B247" s="340">
        <f>SUM(B225:B246)</f>
        <v>57</v>
      </c>
      <c r="C247" s="340">
        <f t="shared" ref="C247:P247" si="86">SUM(C225:C246)</f>
        <v>48</v>
      </c>
      <c r="D247" s="341">
        <f t="shared" si="86"/>
        <v>22.555032000000001</v>
      </c>
      <c r="E247" s="340">
        <f t="shared" si="86"/>
        <v>9</v>
      </c>
      <c r="F247" s="341">
        <f t="shared" si="86"/>
        <v>3.2002920000000001</v>
      </c>
      <c r="G247" s="340">
        <f t="shared" si="86"/>
        <v>60</v>
      </c>
      <c r="H247" s="340">
        <f t="shared" si="86"/>
        <v>45</v>
      </c>
      <c r="I247" s="341">
        <f t="shared" si="86"/>
        <v>22.542804</v>
      </c>
      <c r="J247" s="340">
        <f t="shared" si="86"/>
        <v>15</v>
      </c>
      <c r="K247" s="341">
        <f t="shared" si="86"/>
        <v>41.604239999999997</v>
      </c>
      <c r="L247" s="340">
        <f t="shared" si="86"/>
        <v>60</v>
      </c>
      <c r="M247" s="340">
        <f t="shared" si="86"/>
        <v>45</v>
      </c>
      <c r="N247" s="341">
        <f t="shared" si="86"/>
        <v>23.077128000000002</v>
      </c>
      <c r="O247" s="340">
        <f t="shared" si="86"/>
        <v>15</v>
      </c>
      <c r="P247" s="712">
        <f t="shared" si="86"/>
        <v>41.604239999999997</v>
      </c>
    </row>
    <row r="248" spans="1:23" ht="18">
      <c r="A248" s="1429" t="s">
        <v>1318</v>
      </c>
      <c r="B248" s="1429"/>
      <c r="C248" s="1429"/>
      <c r="D248" s="1429"/>
      <c r="E248" s="1429"/>
      <c r="F248" s="1429"/>
      <c r="G248" s="1429"/>
      <c r="H248" s="1429"/>
      <c r="I248" s="1429"/>
      <c r="J248" s="1429"/>
      <c r="K248" s="1429"/>
      <c r="L248" s="1429"/>
      <c r="M248" s="1429"/>
      <c r="N248" s="1429"/>
      <c r="O248" s="1429"/>
      <c r="P248" s="1429"/>
      <c r="Q248" s="7"/>
      <c r="R248" s="678"/>
      <c r="S248" s="678"/>
      <c r="T248" s="678"/>
      <c r="U248" s="678"/>
      <c r="V248" s="678"/>
      <c r="W248" s="7"/>
    </row>
    <row r="249" spans="1:23">
      <c r="A249" s="1434" t="s">
        <v>873</v>
      </c>
      <c r="B249" s="1437" t="str">
        <f>+$B$6</f>
        <v>Status during last FY 2017-18</v>
      </c>
      <c r="C249" s="1438"/>
      <c r="D249" s="1438"/>
      <c r="E249" s="1438"/>
      <c r="F249" s="1439"/>
      <c r="G249" s="1437" t="str">
        <f>+$G$6</f>
        <v>Status during current FY 2018-19</v>
      </c>
      <c r="H249" s="1438"/>
      <c r="I249" s="1438"/>
      <c r="J249" s="1438"/>
      <c r="K249" s="1439"/>
      <c r="L249" s="1437" t="str">
        <f>+$L$6</f>
        <v>Planned for next FY 2019-20</v>
      </c>
      <c r="M249" s="1438"/>
      <c r="N249" s="1438"/>
      <c r="O249" s="1438"/>
      <c r="P249" s="1439"/>
      <c r="Q249" s="7"/>
      <c r="R249" s="678"/>
      <c r="S249" s="678"/>
      <c r="T249" s="678"/>
      <c r="U249" s="678"/>
      <c r="V249" s="678"/>
      <c r="W249" s="7"/>
    </row>
    <row r="250" spans="1:23">
      <c r="A250" s="1435"/>
      <c r="B250" s="1431" t="s">
        <v>872</v>
      </c>
      <c r="C250" s="1411" t="s">
        <v>134</v>
      </c>
      <c r="D250" s="1411"/>
      <c r="E250" s="1412" t="s">
        <v>135</v>
      </c>
      <c r="F250" s="1413"/>
      <c r="G250" s="1431" t="s">
        <v>869</v>
      </c>
      <c r="H250" s="1411" t="s">
        <v>134</v>
      </c>
      <c r="I250" s="1411"/>
      <c r="J250" s="1412" t="s">
        <v>135</v>
      </c>
      <c r="K250" s="1413"/>
      <c r="L250" s="1431" t="s">
        <v>869</v>
      </c>
      <c r="M250" s="1411" t="s">
        <v>134</v>
      </c>
      <c r="N250" s="1411"/>
      <c r="O250" s="1412" t="s">
        <v>135</v>
      </c>
      <c r="P250" s="1413"/>
      <c r="Q250" s="7"/>
      <c r="R250" s="1433" t="s">
        <v>1310</v>
      </c>
      <c r="S250" s="1433"/>
      <c r="T250" s="1433"/>
      <c r="U250" s="1430" t="s">
        <v>1311</v>
      </c>
      <c r="V250" s="1430"/>
      <c r="W250" s="1430"/>
    </row>
    <row r="251" spans="1:23" ht="42.75">
      <c r="A251" s="1436"/>
      <c r="B251" s="1432"/>
      <c r="C251" s="199" t="s">
        <v>153</v>
      </c>
      <c r="D251" s="665" t="s">
        <v>868</v>
      </c>
      <c r="E251" s="199" t="s">
        <v>153</v>
      </c>
      <c r="F251" s="666" t="s">
        <v>868</v>
      </c>
      <c r="G251" s="1432"/>
      <c r="H251" s="199" t="s">
        <v>153</v>
      </c>
      <c r="I251" s="665" t="s">
        <v>868</v>
      </c>
      <c r="J251" s="199" t="s">
        <v>153</v>
      </c>
      <c r="K251" s="666" t="s">
        <v>868</v>
      </c>
      <c r="L251" s="1432"/>
      <c r="M251" s="199" t="s">
        <v>153</v>
      </c>
      <c r="N251" s="665" t="s">
        <v>868</v>
      </c>
      <c r="O251" s="199" t="s">
        <v>153</v>
      </c>
      <c r="P251" s="666" t="s">
        <v>868</v>
      </c>
      <c r="Q251" s="7"/>
      <c r="R251" s="714" t="s">
        <v>1313</v>
      </c>
      <c r="S251" s="715" t="s">
        <v>1314</v>
      </c>
      <c r="T251" s="714"/>
      <c r="U251" s="714" t="s">
        <v>1313</v>
      </c>
      <c r="V251" s="715" t="s">
        <v>1314</v>
      </c>
      <c r="W251" s="309"/>
    </row>
    <row r="252" spans="1:23" ht="14.25">
      <c r="A252" s="708">
        <v>22</v>
      </c>
      <c r="B252" s="716"/>
      <c r="C252" s="717"/>
      <c r="D252" s="213"/>
      <c r="E252" s="717"/>
      <c r="F252" s="214"/>
      <c r="G252" s="716"/>
      <c r="H252" s="717"/>
      <c r="I252" s="213"/>
      <c r="J252" s="717"/>
      <c r="K252" s="214"/>
      <c r="L252" s="716"/>
      <c r="M252" s="717"/>
      <c r="N252" s="217"/>
      <c r="O252" s="717"/>
      <c r="P252" s="718"/>
      <c r="Q252" s="7"/>
      <c r="R252" s="678"/>
      <c r="S252" s="678"/>
      <c r="T252" s="678"/>
      <c r="U252" s="678"/>
      <c r="V252" s="678"/>
      <c r="W252" s="677">
        <f t="shared" ref="W252:W273" si="87">SUM(U252-V252)</f>
        <v>0</v>
      </c>
    </row>
    <row r="253" spans="1:23" ht="14.25">
      <c r="A253" s="14">
        <v>21</v>
      </c>
      <c r="B253" s="215"/>
      <c r="C253" s="216"/>
      <c r="D253" s="217"/>
      <c r="E253" s="216"/>
      <c r="F253" s="218"/>
      <c r="G253" s="215"/>
      <c r="H253" s="216"/>
      <c r="I253" s="217"/>
      <c r="J253" s="216"/>
      <c r="K253" s="218"/>
      <c r="L253" s="215"/>
      <c r="M253" s="216"/>
      <c r="N253" s="217"/>
      <c r="O253" s="216"/>
      <c r="P253" s="719">
        <f>+K253</f>
        <v>0</v>
      </c>
      <c r="Q253" s="7"/>
      <c r="R253" s="678"/>
      <c r="S253" s="678"/>
      <c r="T253" s="678"/>
      <c r="U253" s="678"/>
      <c r="V253" s="678"/>
      <c r="W253" s="677">
        <f t="shared" si="87"/>
        <v>0</v>
      </c>
    </row>
    <row r="254" spans="1:23" ht="14.25">
      <c r="A254" s="14">
        <v>20</v>
      </c>
      <c r="B254" s="215"/>
      <c r="C254" s="216"/>
      <c r="D254" s="217"/>
      <c r="E254" s="216"/>
      <c r="F254" s="218"/>
      <c r="G254" s="215"/>
      <c r="H254" s="216"/>
      <c r="I254" s="682">
        <f t="shared" ref="I254:I255" si="88">SUM(S254/1000000)</f>
        <v>0</v>
      </c>
      <c r="J254" s="216"/>
      <c r="K254" s="683">
        <f t="shared" ref="K254:K272" si="89">SUM(R254-S254)/100000</f>
        <v>0</v>
      </c>
      <c r="L254" s="215"/>
      <c r="M254" s="216"/>
      <c r="N254" s="217"/>
      <c r="O254" s="216"/>
      <c r="P254" s="719">
        <f t="shared" ref="P254:P272" si="90">+K254</f>
        <v>0</v>
      </c>
      <c r="Q254" s="7"/>
      <c r="R254" s="678"/>
      <c r="S254" s="678"/>
      <c r="T254" s="678"/>
      <c r="U254" s="678"/>
      <c r="V254" s="678"/>
      <c r="W254" s="677">
        <f t="shared" si="87"/>
        <v>0</v>
      </c>
    </row>
    <row r="255" spans="1:23" ht="14.25">
      <c r="A255" s="710">
        <v>19</v>
      </c>
      <c r="B255" s="215"/>
      <c r="C255" s="216"/>
      <c r="D255" s="217"/>
      <c r="E255" s="216"/>
      <c r="F255" s="218"/>
      <c r="G255" s="215"/>
      <c r="H255" s="216"/>
      <c r="I255" s="682">
        <f t="shared" si="88"/>
        <v>0</v>
      </c>
      <c r="J255" s="216"/>
      <c r="K255" s="683">
        <f t="shared" si="89"/>
        <v>0</v>
      </c>
      <c r="L255" s="215"/>
      <c r="M255" s="216"/>
      <c r="N255" s="217"/>
      <c r="O255" s="216"/>
      <c r="P255" s="719">
        <f t="shared" si="90"/>
        <v>0</v>
      </c>
      <c r="Q255" s="7"/>
      <c r="R255" s="678"/>
      <c r="S255" s="678"/>
      <c r="T255" s="678"/>
      <c r="U255" s="678"/>
      <c r="V255" s="678"/>
      <c r="W255" s="677">
        <f t="shared" si="87"/>
        <v>0</v>
      </c>
    </row>
    <row r="256" spans="1:23" ht="14.25">
      <c r="A256" s="14">
        <v>18</v>
      </c>
      <c r="B256" s="215"/>
      <c r="C256" s="216"/>
      <c r="D256" s="217"/>
      <c r="E256" s="216"/>
      <c r="F256" s="218"/>
      <c r="G256" s="215"/>
      <c r="H256" s="216"/>
      <c r="I256" s="682">
        <f>SUM(S256/1000000)</f>
        <v>0</v>
      </c>
      <c r="J256" s="216"/>
      <c r="K256" s="683">
        <f t="shared" si="89"/>
        <v>0</v>
      </c>
      <c r="L256" s="215"/>
      <c r="M256" s="216"/>
      <c r="N256" s="217"/>
      <c r="O256" s="216"/>
      <c r="P256" s="719">
        <f t="shared" si="90"/>
        <v>0</v>
      </c>
      <c r="Q256" s="7"/>
      <c r="R256" s="678"/>
      <c r="S256" s="678"/>
      <c r="T256" s="678"/>
      <c r="U256" s="678"/>
      <c r="V256" s="678"/>
      <c r="W256" s="677">
        <f t="shared" si="87"/>
        <v>0</v>
      </c>
    </row>
    <row r="257" spans="1:23" ht="14.25">
      <c r="A257" s="14">
        <v>17</v>
      </c>
      <c r="B257" s="215">
        <v>3</v>
      </c>
      <c r="C257" s="216">
        <v>2</v>
      </c>
      <c r="D257" s="217">
        <v>2.3525040000000002</v>
      </c>
      <c r="E257" s="216">
        <v>1</v>
      </c>
      <c r="F257" s="218">
        <v>0.80447999999999997</v>
      </c>
      <c r="G257" s="215">
        <v>3</v>
      </c>
      <c r="H257" s="216">
        <v>2</v>
      </c>
      <c r="I257" s="682">
        <f t="shared" ref="I257:I272" si="91">SUM(S257/1000000)</f>
        <v>2.5275840000000001</v>
      </c>
      <c r="J257" s="216">
        <f t="shared" ref="J257:J272" si="92">SUM(G257-H257)</f>
        <v>1</v>
      </c>
      <c r="K257" s="683">
        <f t="shared" si="89"/>
        <v>6.4149599999999998</v>
      </c>
      <c r="L257" s="215">
        <v>3</v>
      </c>
      <c r="M257" s="216">
        <v>2</v>
      </c>
      <c r="N257" s="682">
        <f t="shared" ref="N257:N270" si="93">SUM(U257/1000000)</f>
        <v>2.5938240000000001</v>
      </c>
      <c r="O257" s="216">
        <f t="shared" ref="O257" si="94">SUM(L257-M257)</f>
        <v>1</v>
      </c>
      <c r="P257" s="719">
        <f t="shared" si="90"/>
        <v>6.4149599999999998</v>
      </c>
      <c r="Q257" s="7"/>
      <c r="R257" s="678">
        <v>3169080</v>
      </c>
      <c r="S257" s="678">
        <v>2527584</v>
      </c>
      <c r="T257" s="678"/>
      <c r="U257" s="678">
        <v>2593824</v>
      </c>
      <c r="V257" s="678"/>
      <c r="W257" s="677">
        <f t="shared" si="87"/>
        <v>2593824</v>
      </c>
    </row>
    <row r="258" spans="1:23" ht="14.25">
      <c r="A258" s="14">
        <v>16</v>
      </c>
      <c r="B258" s="200">
        <v>2</v>
      </c>
      <c r="C258" s="204">
        <v>1</v>
      </c>
      <c r="D258" s="720">
        <v>0.73849200000000004</v>
      </c>
      <c r="E258" s="204">
        <v>1</v>
      </c>
      <c r="F258" s="721">
        <v>0.44992799999999999</v>
      </c>
      <c r="G258" s="200">
        <v>2</v>
      </c>
      <c r="H258" s="204">
        <v>1</v>
      </c>
      <c r="I258" s="682">
        <f t="shared" si="91"/>
        <v>0.78671999999999997</v>
      </c>
      <c r="J258" s="216">
        <f t="shared" si="92"/>
        <v>1</v>
      </c>
      <c r="K258" s="683">
        <f t="shared" si="89"/>
        <v>4.8898799999999998</v>
      </c>
      <c r="L258" s="200">
        <v>2</v>
      </c>
      <c r="M258" s="204">
        <v>1</v>
      </c>
      <c r="N258" s="217">
        <f t="shared" si="93"/>
        <v>0.80860799999999999</v>
      </c>
      <c r="O258" s="216">
        <f t="shared" ref="O258:O272" si="95">SUM(L258-M258)</f>
        <v>1</v>
      </c>
      <c r="P258" s="719">
        <f t="shared" si="90"/>
        <v>4.8898799999999998</v>
      </c>
      <c r="Q258" s="7"/>
      <c r="R258" s="678">
        <v>1275708</v>
      </c>
      <c r="S258" s="678">
        <v>786720</v>
      </c>
      <c r="T258" s="678"/>
      <c r="U258" s="678">
        <v>808608</v>
      </c>
      <c r="V258" s="678"/>
      <c r="W258" s="677">
        <f t="shared" si="87"/>
        <v>808608</v>
      </c>
    </row>
    <row r="259" spans="1:23" ht="14.25">
      <c r="A259" s="14">
        <v>15</v>
      </c>
      <c r="B259" s="200"/>
      <c r="C259" s="204"/>
      <c r="D259" s="720"/>
      <c r="E259" s="204"/>
      <c r="F259" s="721"/>
      <c r="G259" s="200"/>
      <c r="H259" s="204"/>
      <c r="I259" s="682">
        <f t="shared" si="91"/>
        <v>0</v>
      </c>
      <c r="J259" s="216"/>
      <c r="K259" s="683">
        <f t="shared" si="89"/>
        <v>0</v>
      </c>
      <c r="L259" s="200"/>
      <c r="M259" s="204"/>
      <c r="N259" s="217"/>
      <c r="O259" s="216"/>
      <c r="P259" s="719">
        <f t="shared" si="90"/>
        <v>0</v>
      </c>
      <c r="Q259" s="7"/>
      <c r="S259" s="678"/>
      <c r="T259" s="678"/>
      <c r="U259" s="678"/>
      <c r="V259" s="678"/>
      <c r="W259" s="677">
        <f t="shared" si="87"/>
        <v>0</v>
      </c>
    </row>
    <row r="260" spans="1:23" ht="14.25">
      <c r="A260" s="22">
        <v>14</v>
      </c>
      <c r="B260" s="201">
        <v>1</v>
      </c>
      <c r="C260" s="204">
        <v>1</v>
      </c>
      <c r="D260" s="720">
        <v>0.513432</v>
      </c>
      <c r="E260" s="204"/>
      <c r="F260" s="721"/>
      <c r="G260" s="201">
        <v>1</v>
      </c>
      <c r="H260" s="204">
        <v>1</v>
      </c>
      <c r="I260" s="682">
        <f t="shared" si="91"/>
        <v>0.55785600000000002</v>
      </c>
      <c r="J260" s="216"/>
      <c r="K260" s="683">
        <f t="shared" si="89"/>
        <v>0</v>
      </c>
      <c r="L260" s="201">
        <v>1</v>
      </c>
      <c r="M260" s="204">
        <v>1</v>
      </c>
      <c r="N260" s="217">
        <f t="shared" si="93"/>
        <v>0.57470399999999999</v>
      </c>
      <c r="O260" s="216"/>
      <c r="P260" s="719">
        <f t="shared" si="90"/>
        <v>0</v>
      </c>
      <c r="Q260" s="7"/>
      <c r="R260" s="678">
        <v>557856</v>
      </c>
      <c r="S260" s="678">
        <f>+R260</f>
        <v>557856</v>
      </c>
      <c r="T260" s="678"/>
      <c r="U260" s="678">
        <v>574704</v>
      </c>
      <c r="V260" s="678"/>
      <c r="W260" s="677">
        <f t="shared" si="87"/>
        <v>574704</v>
      </c>
    </row>
    <row r="261" spans="1:23" ht="14.25">
      <c r="A261" s="22">
        <v>13</v>
      </c>
      <c r="B261" s="201"/>
      <c r="C261" s="204"/>
      <c r="D261" s="720"/>
      <c r="E261" s="204"/>
      <c r="F261" s="721"/>
      <c r="G261" s="201"/>
      <c r="H261" s="204"/>
      <c r="I261" s="682">
        <f t="shared" si="91"/>
        <v>0</v>
      </c>
      <c r="J261" s="216"/>
      <c r="K261" s="683">
        <f t="shared" si="89"/>
        <v>0</v>
      </c>
      <c r="L261" s="201"/>
      <c r="M261" s="204"/>
      <c r="N261" s="217"/>
      <c r="O261" s="216"/>
      <c r="P261" s="719">
        <f t="shared" si="90"/>
        <v>0</v>
      </c>
      <c r="Q261" s="7"/>
      <c r="S261" s="678"/>
      <c r="T261" s="678"/>
      <c r="U261" s="678"/>
      <c r="V261" s="678"/>
      <c r="W261" s="677">
        <f t="shared" si="87"/>
        <v>0</v>
      </c>
    </row>
    <row r="262" spans="1:23" ht="14.25">
      <c r="A262" s="22">
        <v>12</v>
      </c>
      <c r="B262" s="201"/>
      <c r="C262" s="204"/>
      <c r="D262" s="720"/>
      <c r="E262" s="204"/>
      <c r="F262" s="721"/>
      <c r="G262" s="201"/>
      <c r="H262" s="204"/>
      <c r="I262" s="682">
        <f t="shared" si="91"/>
        <v>0</v>
      </c>
      <c r="J262" s="216"/>
      <c r="K262" s="683">
        <f t="shared" si="89"/>
        <v>0</v>
      </c>
      <c r="L262" s="201"/>
      <c r="M262" s="204"/>
      <c r="N262" s="217"/>
      <c r="O262" s="216"/>
      <c r="P262" s="719">
        <f t="shared" si="90"/>
        <v>0</v>
      </c>
      <c r="Q262" s="7"/>
      <c r="S262" s="678"/>
      <c r="T262" s="678"/>
      <c r="U262" s="678"/>
      <c r="V262" s="678"/>
      <c r="W262" s="677">
        <f t="shared" si="87"/>
        <v>0</v>
      </c>
    </row>
    <row r="263" spans="1:23" ht="14.25">
      <c r="A263" s="22">
        <v>11</v>
      </c>
      <c r="B263" s="201">
        <v>4</v>
      </c>
      <c r="C263" s="204">
        <v>2</v>
      </c>
      <c r="D263" s="720">
        <v>0.90083999999999997</v>
      </c>
      <c r="E263" s="204">
        <v>2</v>
      </c>
      <c r="F263" s="721">
        <v>0.58620000000000005</v>
      </c>
      <c r="G263" s="201">
        <v>4</v>
      </c>
      <c r="H263" s="204">
        <v>2</v>
      </c>
      <c r="I263" s="682">
        <f t="shared" si="91"/>
        <v>0.97665599999999997</v>
      </c>
      <c r="J263" s="216">
        <f t="shared" si="92"/>
        <v>2</v>
      </c>
      <c r="K263" s="683">
        <f t="shared" si="89"/>
        <v>6.3859199999999996</v>
      </c>
      <c r="L263" s="201">
        <v>4</v>
      </c>
      <c r="M263" s="204">
        <v>2</v>
      </c>
      <c r="N263" s="217">
        <f t="shared" si="93"/>
        <v>1.0093920000000001</v>
      </c>
      <c r="O263" s="216">
        <f t="shared" si="95"/>
        <v>2</v>
      </c>
      <c r="P263" s="719">
        <f t="shared" si="90"/>
        <v>6.3859199999999996</v>
      </c>
      <c r="Q263" s="7"/>
      <c r="R263" s="678">
        <v>1615248</v>
      </c>
      <c r="S263" s="678">
        <v>976656</v>
      </c>
      <c r="T263" s="678"/>
      <c r="U263" s="678">
        <v>1009392</v>
      </c>
      <c r="V263" s="678"/>
      <c r="W263" s="677">
        <f t="shared" si="87"/>
        <v>1009392</v>
      </c>
    </row>
    <row r="264" spans="1:23" ht="14.25">
      <c r="A264" s="22">
        <v>10</v>
      </c>
      <c r="B264" s="201"/>
      <c r="C264" s="204"/>
      <c r="D264" s="720"/>
      <c r="E264" s="204"/>
      <c r="F264" s="721"/>
      <c r="G264" s="201"/>
      <c r="H264" s="204"/>
      <c r="I264" s="682">
        <f t="shared" si="91"/>
        <v>0</v>
      </c>
      <c r="J264" s="216"/>
      <c r="K264" s="683">
        <f t="shared" si="89"/>
        <v>0</v>
      </c>
      <c r="L264" s="201"/>
      <c r="M264" s="204"/>
      <c r="N264" s="217"/>
      <c r="O264" s="216"/>
      <c r="P264" s="719">
        <f t="shared" si="90"/>
        <v>0</v>
      </c>
      <c r="Q264" s="7"/>
      <c r="S264" s="678"/>
      <c r="T264" s="678"/>
      <c r="U264" s="678"/>
      <c r="V264" s="678"/>
      <c r="W264" s="677">
        <f t="shared" si="87"/>
        <v>0</v>
      </c>
    </row>
    <row r="265" spans="1:23" ht="14.25">
      <c r="A265" s="22">
        <v>9</v>
      </c>
      <c r="B265" s="201"/>
      <c r="C265" s="204"/>
      <c r="D265" s="720"/>
      <c r="E265" s="204"/>
      <c r="F265" s="721"/>
      <c r="G265" s="201"/>
      <c r="H265" s="204"/>
      <c r="I265" s="682">
        <f t="shared" si="91"/>
        <v>0</v>
      </c>
      <c r="J265" s="216"/>
      <c r="K265" s="683">
        <f t="shared" si="89"/>
        <v>0</v>
      </c>
      <c r="L265" s="201"/>
      <c r="M265" s="204"/>
      <c r="N265" s="217"/>
      <c r="O265" s="216"/>
      <c r="P265" s="719">
        <f t="shared" si="90"/>
        <v>0</v>
      </c>
      <c r="Q265" s="7"/>
      <c r="S265" s="678"/>
      <c r="T265" s="678"/>
      <c r="U265" s="678"/>
      <c r="V265" s="678"/>
      <c r="W265" s="677">
        <f t="shared" si="87"/>
        <v>0</v>
      </c>
    </row>
    <row r="266" spans="1:23" ht="14.25">
      <c r="A266" s="22">
        <v>8</v>
      </c>
      <c r="B266" s="201">
        <v>3</v>
      </c>
      <c r="C266" s="204">
        <v>3</v>
      </c>
      <c r="D266" s="720">
        <v>1.5009479999999999</v>
      </c>
      <c r="E266" s="204"/>
      <c r="F266" s="721"/>
      <c r="G266" s="201">
        <v>3</v>
      </c>
      <c r="H266" s="204">
        <v>3</v>
      </c>
      <c r="I266" s="682">
        <f t="shared" si="91"/>
        <v>1.6088880000000001</v>
      </c>
      <c r="J266" s="216"/>
      <c r="K266" s="683">
        <f t="shared" si="89"/>
        <v>0</v>
      </c>
      <c r="L266" s="201">
        <v>3</v>
      </c>
      <c r="M266" s="204">
        <v>3</v>
      </c>
      <c r="N266" s="217">
        <f t="shared" si="93"/>
        <v>1.6420440000000001</v>
      </c>
      <c r="O266" s="216"/>
      <c r="P266" s="719">
        <f t="shared" si="90"/>
        <v>0</v>
      </c>
      <c r="Q266" s="7"/>
      <c r="R266" s="678">
        <v>1608888</v>
      </c>
      <c r="S266" s="678">
        <f>+R266</f>
        <v>1608888</v>
      </c>
      <c r="T266" s="678"/>
      <c r="U266" s="678">
        <v>1642044</v>
      </c>
      <c r="V266" s="678"/>
      <c r="W266" s="677">
        <f t="shared" si="87"/>
        <v>1642044</v>
      </c>
    </row>
    <row r="267" spans="1:23" ht="14.25">
      <c r="A267" s="22">
        <v>7</v>
      </c>
      <c r="B267" s="201">
        <v>4</v>
      </c>
      <c r="C267" s="204">
        <v>3</v>
      </c>
      <c r="D267" s="720">
        <v>1.2973920000000001</v>
      </c>
      <c r="E267" s="204">
        <v>1</v>
      </c>
      <c r="F267" s="721">
        <v>0.248196</v>
      </c>
      <c r="G267" s="201">
        <v>4</v>
      </c>
      <c r="H267" s="204">
        <v>3</v>
      </c>
      <c r="I267" s="682">
        <f t="shared" si="91"/>
        <v>1.396104</v>
      </c>
      <c r="J267" s="216">
        <f t="shared" si="92"/>
        <v>1</v>
      </c>
      <c r="K267" s="683">
        <f t="shared" si="89"/>
        <v>2.7092399999999999</v>
      </c>
      <c r="L267" s="201">
        <v>4</v>
      </c>
      <c r="M267" s="204">
        <v>3</v>
      </c>
      <c r="N267" s="217">
        <f t="shared" si="93"/>
        <v>1.4275800000000001</v>
      </c>
      <c r="O267" s="216">
        <f t="shared" si="95"/>
        <v>1</v>
      </c>
      <c r="P267" s="719">
        <f t="shared" si="90"/>
        <v>2.7092399999999999</v>
      </c>
      <c r="Q267" s="7"/>
      <c r="R267" s="678">
        <v>1667028</v>
      </c>
      <c r="S267" s="678">
        <v>1396104</v>
      </c>
      <c r="T267" s="678"/>
      <c r="U267" s="678">
        <v>1427580</v>
      </c>
      <c r="V267" s="678"/>
      <c r="W267" s="677">
        <f t="shared" si="87"/>
        <v>1427580</v>
      </c>
    </row>
    <row r="268" spans="1:23" ht="14.25">
      <c r="A268" s="22">
        <v>6</v>
      </c>
      <c r="B268" s="201"/>
      <c r="C268" s="204"/>
      <c r="D268" s="720"/>
      <c r="E268" s="204"/>
      <c r="F268" s="721"/>
      <c r="G268" s="201"/>
      <c r="H268" s="204"/>
      <c r="I268" s="682">
        <f t="shared" si="91"/>
        <v>0</v>
      </c>
      <c r="J268" s="216"/>
      <c r="K268" s="683">
        <f t="shared" si="89"/>
        <v>0</v>
      </c>
      <c r="L268" s="201"/>
      <c r="M268" s="204"/>
      <c r="N268" s="217"/>
      <c r="O268" s="216"/>
      <c r="P268" s="719">
        <f t="shared" si="90"/>
        <v>0</v>
      </c>
      <c r="Q268" s="7"/>
      <c r="S268" s="678"/>
      <c r="T268" s="678"/>
      <c r="U268" s="678"/>
      <c r="V268" s="678"/>
      <c r="W268" s="677">
        <f t="shared" si="87"/>
        <v>0</v>
      </c>
    </row>
    <row r="269" spans="1:23" ht="14.25">
      <c r="A269" s="22">
        <v>5</v>
      </c>
      <c r="B269" s="201">
        <v>1</v>
      </c>
      <c r="C269" s="204"/>
      <c r="D269" s="720"/>
      <c r="E269" s="204">
        <v>1</v>
      </c>
      <c r="F269" s="721">
        <v>0.23305200000000001</v>
      </c>
      <c r="G269" s="201">
        <v>1</v>
      </c>
      <c r="H269" s="204"/>
      <c r="I269" s="682">
        <f t="shared" si="91"/>
        <v>0</v>
      </c>
      <c r="J269" s="216">
        <f t="shared" si="92"/>
        <v>1</v>
      </c>
      <c r="K269" s="683">
        <f t="shared" si="89"/>
        <v>2.5438800000000001</v>
      </c>
      <c r="L269" s="201">
        <v>1</v>
      </c>
      <c r="M269" s="204"/>
      <c r="N269" s="217"/>
      <c r="O269" s="216">
        <f t="shared" si="95"/>
        <v>1</v>
      </c>
      <c r="P269" s="719">
        <f t="shared" si="90"/>
        <v>2.5438800000000001</v>
      </c>
      <c r="Q269" s="7"/>
      <c r="R269" s="678">
        <v>254388</v>
      </c>
      <c r="S269" s="678"/>
      <c r="T269" s="678"/>
      <c r="U269" s="678"/>
      <c r="V269" s="678"/>
      <c r="W269" s="677">
        <f t="shared" si="87"/>
        <v>0</v>
      </c>
    </row>
    <row r="270" spans="1:23" ht="14.25">
      <c r="A270" s="22">
        <v>4</v>
      </c>
      <c r="B270" s="201">
        <v>14</v>
      </c>
      <c r="C270" s="204">
        <v>14</v>
      </c>
      <c r="D270" s="720">
        <v>4.1462519999999996</v>
      </c>
      <c r="E270" s="204"/>
      <c r="F270" s="721"/>
      <c r="G270" s="201">
        <v>15</v>
      </c>
      <c r="H270" s="204">
        <v>15</v>
      </c>
      <c r="I270" s="682">
        <f t="shared" si="91"/>
        <v>4.8155640000000002</v>
      </c>
      <c r="J270" s="216"/>
      <c r="K270" s="683">
        <f t="shared" si="89"/>
        <v>0</v>
      </c>
      <c r="L270" s="201">
        <v>15</v>
      </c>
      <c r="M270" s="204">
        <v>15</v>
      </c>
      <c r="N270" s="217">
        <f t="shared" si="93"/>
        <v>4.9383239999999997</v>
      </c>
      <c r="O270" s="216"/>
      <c r="P270" s="719">
        <f t="shared" si="90"/>
        <v>0</v>
      </c>
      <c r="Q270" s="7"/>
      <c r="R270" s="678">
        <v>4815564</v>
      </c>
      <c r="S270" s="678">
        <v>4815564</v>
      </c>
      <c r="T270" s="678"/>
      <c r="U270" s="678">
        <v>4938324</v>
      </c>
      <c r="V270" s="678"/>
      <c r="W270" s="677">
        <f t="shared" si="87"/>
        <v>4938324</v>
      </c>
    </row>
    <row r="271" spans="1:23" ht="14.25">
      <c r="A271" s="22">
        <v>3</v>
      </c>
      <c r="B271" s="201"/>
      <c r="C271" s="204"/>
      <c r="D271" s="720"/>
      <c r="E271" s="204"/>
      <c r="F271" s="721"/>
      <c r="G271" s="201"/>
      <c r="H271" s="204"/>
      <c r="I271" s="682">
        <f t="shared" si="91"/>
        <v>0</v>
      </c>
      <c r="J271" s="216"/>
      <c r="K271" s="683">
        <f t="shared" si="89"/>
        <v>0</v>
      </c>
      <c r="L271" s="201"/>
      <c r="M271" s="204"/>
      <c r="N271" s="217"/>
      <c r="O271" s="216"/>
      <c r="P271" s="719">
        <f t="shared" si="90"/>
        <v>0</v>
      </c>
      <c r="Q271" s="7"/>
      <c r="S271" s="678"/>
      <c r="T271" s="678"/>
      <c r="U271" s="678"/>
      <c r="V271" s="678"/>
      <c r="W271" s="677">
        <f t="shared" si="87"/>
        <v>0</v>
      </c>
    </row>
    <row r="272" spans="1:23" ht="14.25">
      <c r="A272" s="22">
        <v>2</v>
      </c>
      <c r="B272" s="201">
        <v>1</v>
      </c>
      <c r="C272" s="204"/>
      <c r="D272" s="720"/>
      <c r="E272" s="204">
        <v>1</v>
      </c>
      <c r="F272" s="721">
        <v>0.216528</v>
      </c>
      <c r="G272" s="201">
        <v>1</v>
      </c>
      <c r="H272" s="204"/>
      <c r="I272" s="682">
        <f t="shared" si="91"/>
        <v>0</v>
      </c>
      <c r="J272" s="216">
        <f t="shared" si="92"/>
        <v>1</v>
      </c>
      <c r="K272" s="683">
        <f t="shared" si="89"/>
        <v>2.3589600000000002</v>
      </c>
      <c r="L272" s="201">
        <v>1</v>
      </c>
      <c r="M272" s="204"/>
      <c r="N272" s="217"/>
      <c r="O272" s="216">
        <f t="shared" si="95"/>
        <v>1</v>
      </c>
      <c r="P272" s="719">
        <f t="shared" si="90"/>
        <v>2.3589600000000002</v>
      </c>
      <c r="Q272" s="7"/>
      <c r="R272" s="678">
        <v>235896</v>
      </c>
      <c r="S272" s="678"/>
      <c r="T272" s="678"/>
      <c r="U272" s="678"/>
      <c r="V272" s="678"/>
      <c r="W272" s="677">
        <f t="shared" si="87"/>
        <v>0</v>
      </c>
    </row>
    <row r="273" spans="1:23">
      <c r="A273" s="22">
        <v>1</v>
      </c>
      <c r="B273" s="201"/>
      <c r="C273" s="204"/>
      <c r="D273" s="720"/>
      <c r="E273" s="204"/>
      <c r="F273" s="721"/>
      <c r="G273" s="722"/>
      <c r="H273" s="204"/>
      <c r="I273" s="720"/>
      <c r="J273" s="204"/>
      <c r="K273" s="721"/>
      <c r="L273" s="201"/>
      <c r="M273" s="204"/>
      <c r="N273" s="217"/>
      <c r="O273" s="216"/>
      <c r="P273" s="721"/>
      <c r="Q273" s="7"/>
      <c r="R273" s="678"/>
      <c r="S273" s="678"/>
      <c r="T273" s="678"/>
      <c r="U273" s="678"/>
      <c r="V273" s="678"/>
      <c r="W273" s="677">
        <f t="shared" si="87"/>
        <v>0</v>
      </c>
    </row>
    <row r="274" spans="1:23">
      <c r="A274" s="339" t="s">
        <v>138</v>
      </c>
      <c r="B274" s="340">
        <f>SUM(B252:B273)</f>
        <v>33</v>
      </c>
      <c r="C274" s="340">
        <f t="shared" ref="C274:P274" si="96">SUM(C252:C273)</f>
        <v>26</v>
      </c>
      <c r="D274" s="341">
        <f t="shared" si="96"/>
        <v>11.449860000000001</v>
      </c>
      <c r="E274" s="340">
        <f t="shared" si="96"/>
        <v>7</v>
      </c>
      <c r="F274" s="341">
        <f t="shared" si="96"/>
        <v>2.5383839999999998</v>
      </c>
      <c r="G274" s="340">
        <f t="shared" si="96"/>
        <v>34</v>
      </c>
      <c r="H274" s="340">
        <f t="shared" si="96"/>
        <v>27</v>
      </c>
      <c r="I274" s="341">
        <f t="shared" si="96"/>
        <v>12.669372000000001</v>
      </c>
      <c r="J274" s="340">
        <f t="shared" si="96"/>
        <v>7</v>
      </c>
      <c r="K274" s="341">
        <f t="shared" si="96"/>
        <v>25.30284</v>
      </c>
      <c r="L274" s="340">
        <f t="shared" si="96"/>
        <v>34</v>
      </c>
      <c r="M274" s="340">
        <f t="shared" si="96"/>
        <v>27</v>
      </c>
      <c r="N274" s="341">
        <f t="shared" si="96"/>
        <v>12.994476000000001</v>
      </c>
      <c r="O274" s="340">
        <f t="shared" si="96"/>
        <v>7</v>
      </c>
      <c r="P274" s="712">
        <f t="shared" si="96"/>
        <v>25.30284</v>
      </c>
    </row>
  </sheetData>
  <mergeCells count="161">
    <mergeCell ref="O1:P1"/>
    <mergeCell ref="A2:P2"/>
    <mergeCell ref="O4:P4"/>
    <mergeCell ref="A5:P5"/>
    <mergeCell ref="A6:A8"/>
    <mergeCell ref="B6:F6"/>
    <mergeCell ref="G6:K6"/>
    <mergeCell ref="L6:P6"/>
    <mergeCell ref="B7:B8"/>
    <mergeCell ref="C7:D7"/>
    <mergeCell ref="O7:P7"/>
    <mergeCell ref="E7:F7"/>
    <mergeCell ref="G7:G8"/>
    <mergeCell ref="H7:I7"/>
    <mergeCell ref="J7:K7"/>
    <mergeCell ref="L7:L8"/>
    <mergeCell ref="M7:N7"/>
    <mergeCell ref="A32:P32"/>
    <mergeCell ref="A33:A35"/>
    <mergeCell ref="B33:F33"/>
    <mergeCell ref="G33:K33"/>
    <mergeCell ref="L33:P33"/>
    <mergeCell ref="B34:B35"/>
    <mergeCell ref="C34:D34"/>
    <mergeCell ref="E34:F34"/>
    <mergeCell ref="G34:G35"/>
    <mergeCell ref="U34:W34"/>
    <mergeCell ref="A59:P59"/>
    <mergeCell ref="A60:A62"/>
    <mergeCell ref="B60:F60"/>
    <mergeCell ref="G60:K60"/>
    <mergeCell ref="L60:P60"/>
    <mergeCell ref="B61:B62"/>
    <mergeCell ref="C61:D61"/>
    <mergeCell ref="E61:F61"/>
    <mergeCell ref="G61:G62"/>
    <mergeCell ref="H34:I34"/>
    <mergeCell ref="J34:K34"/>
    <mergeCell ref="L34:L35"/>
    <mergeCell ref="M34:N34"/>
    <mergeCell ref="O34:P34"/>
    <mergeCell ref="R34:T34"/>
    <mergeCell ref="U61:W61"/>
    <mergeCell ref="H61:I61"/>
    <mergeCell ref="J61:K61"/>
    <mergeCell ref="L61:L62"/>
    <mergeCell ref="M61:N61"/>
    <mergeCell ref="O61:P61"/>
    <mergeCell ref="R61:T61"/>
    <mergeCell ref="A86:P86"/>
    <mergeCell ref="A87:A89"/>
    <mergeCell ref="B87:F87"/>
    <mergeCell ref="G87:K87"/>
    <mergeCell ref="L87:P87"/>
    <mergeCell ref="B88:B89"/>
    <mergeCell ref="C88:D88"/>
    <mergeCell ref="E88:F88"/>
    <mergeCell ref="G88:G89"/>
    <mergeCell ref="U88:W88"/>
    <mergeCell ref="A113:P113"/>
    <mergeCell ref="A114:A116"/>
    <mergeCell ref="B114:F114"/>
    <mergeCell ref="G114:K114"/>
    <mergeCell ref="L114:P114"/>
    <mergeCell ref="B115:B116"/>
    <mergeCell ref="C115:D115"/>
    <mergeCell ref="E115:F115"/>
    <mergeCell ref="G115:G116"/>
    <mergeCell ref="H88:I88"/>
    <mergeCell ref="J88:K88"/>
    <mergeCell ref="L88:L89"/>
    <mergeCell ref="M88:N88"/>
    <mergeCell ref="O88:P88"/>
    <mergeCell ref="R88:T88"/>
    <mergeCell ref="U115:W115"/>
    <mergeCell ref="H115:I115"/>
    <mergeCell ref="J115:K115"/>
    <mergeCell ref="L115:L116"/>
    <mergeCell ref="M115:N115"/>
    <mergeCell ref="O115:P115"/>
    <mergeCell ref="R115:T115"/>
    <mergeCell ref="A140:P140"/>
    <mergeCell ref="A141:A143"/>
    <mergeCell ref="B141:F141"/>
    <mergeCell ref="G141:K141"/>
    <mergeCell ref="L141:P141"/>
    <mergeCell ref="B142:B143"/>
    <mergeCell ref="C142:D142"/>
    <mergeCell ref="E142:F142"/>
    <mergeCell ref="G142:G143"/>
    <mergeCell ref="U142:W142"/>
    <mergeCell ref="A167:P167"/>
    <mergeCell ref="A168:A170"/>
    <mergeCell ref="B168:F168"/>
    <mergeCell ref="G168:K168"/>
    <mergeCell ref="L168:P168"/>
    <mergeCell ref="B169:B170"/>
    <mergeCell ref="C169:D169"/>
    <mergeCell ref="E169:F169"/>
    <mergeCell ref="G169:G170"/>
    <mergeCell ref="H142:I142"/>
    <mergeCell ref="J142:K142"/>
    <mergeCell ref="L142:L143"/>
    <mergeCell ref="M142:N142"/>
    <mergeCell ref="O142:P142"/>
    <mergeCell ref="R142:T142"/>
    <mergeCell ref="U169:W169"/>
    <mergeCell ref="H169:I169"/>
    <mergeCell ref="J169:K169"/>
    <mergeCell ref="L169:L170"/>
    <mergeCell ref="M169:N169"/>
    <mergeCell ref="O169:P169"/>
    <mergeCell ref="R169:T169"/>
    <mergeCell ref="A194:P194"/>
    <mergeCell ref="A195:A197"/>
    <mergeCell ref="B195:F195"/>
    <mergeCell ref="G195:K195"/>
    <mergeCell ref="L195:P195"/>
    <mergeCell ref="B196:B197"/>
    <mergeCell ref="C196:D196"/>
    <mergeCell ref="E196:F196"/>
    <mergeCell ref="G196:G197"/>
    <mergeCell ref="U196:W196"/>
    <mergeCell ref="A221:P221"/>
    <mergeCell ref="A222:A224"/>
    <mergeCell ref="B222:F222"/>
    <mergeCell ref="G222:K222"/>
    <mergeCell ref="L222:P222"/>
    <mergeCell ref="B223:B224"/>
    <mergeCell ref="C223:D223"/>
    <mergeCell ref="E223:F223"/>
    <mergeCell ref="G223:G224"/>
    <mergeCell ref="H196:I196"/>
    <mergeCell ref="J196:K196"/>
    <mergeCell ref="L196:L197"/>
    <mergeCell ref="M196:N196"/>
    <mergeCell ref="O196:P196"/>
    <mergeCell ref="R196:T196"/>
    <mergeCell ref="U250:W250"/>
    <mergeCell ref="H250:I250"/>
    <mergeCell ref="J250:K250"/>
    <mergeCell ref="L250:L251"/>
    <mergeCell ref="M250:N250"/>
    <mergeCell ref="O250:P250"/>
    <mergeCell ref="R250:T250"/>
    <mergeCell ref="U223:W223"/>
    <mergeCell ref="A248:P248"/>
    <mergeCell ref="A249:A251"/>
    <mergeCell ref="B249:F249"/>
    <mergeCell ref="G249:K249"/>
    <mergeCell ref="L249:P249"/>
    <mergeCell ref="B250:B251"/>
    <mergeCell ref="C250:D250"/>
    <mergeCell ref="E250:F250"/>
    <mergeCell ref="G250:G251"/>
    <mergeCell ref="H223:I223"/>
    <mergeCell ref="J223:K223"/>
    <mergeCell ref="L223:L224"/>
    <mergeCell ref="M223:N223"/>
    <mergeCell ref="O223:P223"/>
    <mergeCell ref="R223:T223"/>
  </mergeCells>
  <printOptions horizontalCentered="1"/>
  <pageMargins left="0.25" right="0.25" top="0.25" bottom="0.25" header="0.25" footer="0.5"/>
  <pageSetup paperSize="9" scale="90" orientation="landscape" r:id="rId1"/>
  <headerFooter alignWithMargins="0"/>
  <rowBreaks count="9" manualBreakCount="9">
    <brk id="31" max="16383" man="1"/>
    <brk id="58" max="16383" man="1"/>
    <brk id="85" max="16383" man="1"/>
    <brk id="112" max="16383" man="1"/>
    <brk id="139" max="16383" man="1"/>
    <brk id="166" max="16383" man="1"/>
    <brk id="193" max="16383" man="1"/>
    <brk id="220" max="16383" man="1"/>
    <brk id="2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9900"/>
  </sheetPr>
  <dimension ref="A1:V49"/>
  <sheetViews>
    <sheetView view="pageBreakPreview" zoomScaleSheetLayoutView="100" workbookViewId="0">
      <selection activeCell="F10" sqref="F10"/>
    </sheetView>
  </sheetViews>
  <sheetFormatPr defaultRowHeight="14.25"/>
  <cols>
    <col min="1" max="1" width="9.5703125" style="173" customWidth="1"/>
    <col min="2" max="2" width="35.7109375" style="173" customWidth="1"/>
    <col min="3" max="6" width="13.7109375" style="173" customWidth="1"/>
    <col min="7" max="7" width="6.85546875" style="173" customWidth="1"/>
    <col min="8" max="8" width="6.42578125" style="173" customWidth="1"/>
    <col min="9" max="10" width="6.85546875" style="173" customWidth="1"/>
    <col min="11" max="11" width="13.7109375" style="173" bestFit="1" customWidth="1"/>
    <col min="12" max="12" width="6.85546875" style="173" customWidth="1"/>
    <col min="13" max="16384" width="9.140625" style="173"/>
  </cols>
  <sheetData>
    <row r="1" spans="1:22" s="148" customFormat="1" ht="15.75" customHeight="1">
      <c r="A1" s="169"/>
      <c r="B1" s="169"/>
      <c r="C1" s="170"/>
      <c r="D1" s="170"/>
      <c r="E1" s="170"/>
      <c r="F1" s="501" t="s">
        <v>1050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2" s="138" customFormat="1" ht="25.5" customHeight="1">
      <c r="A2" s="1443" t="s">
        <v>1357</v>
      </c>
      <c r="B2" s="1443"/>
      <c r="C2" s="1443"/>
      <c r="D2" s="1443"/>
      <c r="E2" s="1443"/>
      <c r="F2" s="1443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22" s="138" customFormat="1" ht="15" customHeight="1">
      <c r="A3" s="428"/>
      <c r="B3" s="428"/>
      <c r="C3" s="428"/>
      <c r="D3" s="428"/>
      <c r="E3" s="428"/>
      <c r="F3" s="428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22" s="148" customFormat="1" ht="16.5" customHeight="1">
      <c r="A4" s="1446" t="s">
        <v>1065</v>
      </c>
      <c r="B4" s="1446"/>
      <c r="C4" s="1446"/>
      <c r="D4" s="1446"/>
      <c r="E4" s="1446"/>
      <c r="F4" s="1446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22" s="148" customFormat="1" ht="10.5" customHeight="1">
      <c r="A5" s="452"/>
      <c r="B5" s="452"/>
      <c r="C5" s="452"/>
      <c r="D5" s="452"/>
      <c r="E5" s="452"/>
      <c r="F5" s="452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22" s="148" customFormat="1" ht="20.25" customHeight="1">
      <c r="A6" s="1449" t="s">
        <v>1053</v>
      </c>
      <c r="B6" s="1449"/>
      <c r="C6" s="1449"/>
      <c r="D6" s="1449"/>
      <c r="E6" s="354"/>
      <c r="F6" s="354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22" s="159" customFormat="1" ht="11.25" customHeight="1">
      <c r="B7" s="171"/>
      <c r="C7" s="172"/>
      <c r="D7" s="172"/>
      <c r="E7" s="172"/>
      <c r="F7" s="181" t="s">
        <v>994</v>
      </c>
      <c r="G7" s="147"/>
      <c r="H7" s="147"/>
      <c r="I7" s="147"/>
      <c r="J7" s="147"/>
    </row>
    <row r="8" spans="1:22" s="459" customFormat="1" ht="18" customHeight="1">
      <c r="A8" s="1445" t="s">
        <v>161</v>
      </c>
      <c r="B8" s="1445" t="s">
        <v>1064</v>
      </c>
      <c r="C8" s="1232" t="s">
        <v>1109</v>
      </c>
      <c r="D8" s="1447" t="s">
        <v>1092</v>
      </c>
      <c r="E8" s="1448"/>
      <c r="F8" s="1297" t="s">
        <v>1091</v>
      </c>
      <c r="G8" s="456"/>
      <c r="H8" s="456"/>
      <c r="I8" s="456"/>
      <c r="J8" s="457"/>
      <c r="K8" s="458"/>
      <c r="L8" s="458"/>
      <c r="M8" s="458"/>
      <c r="T8" s="460"/>
      <c r="U8" s="459" t="s">
        <v>1067</v>
      </c>
    </row>
    <row r="9" spans="1:22" s="461" customFormat="1" ht="25.5">
      <c r="A9" s="1445"/>
      <c r="B9" s="1445"/>
      <c r="C9" s="1232"/>
      <c r="D9" s="427" t="s">
        <v>818</v>
      </c>
      <c r="E9" s="427" t="s">
        <v>819</v>
      </c>
      <c r="F9" s="1307"/>
      <c r="J9" s="462"/>
      <c r="K9" s="462"/>
      <c r="L9" s="462"/>
      <c r="M9" s="462"/>
      <c r="T9" s="463"/>
      <c r="U9" s="464"/>
      <c r="V9" s="465"/>
    </row>
    <row r="10" spans="1:22" s="451" customFormat="1" ht="15.95" customHeight="1">
      <c r="A10" s="447"/>
      <c r="B10" s="447" t="s">
        <v>1051</v>
      </c>
      <c r="C10" s="554"/>
      <c r="D10" s="554">
        <v>1</v>
      </c>
      <c r="E10" s="554">
        <v>1</v>
      </c>
      <c r="F10" s="554">
        <v>1</v>
      </c>
    </row>
    <row r="11" spans="1:22" s="451" customFormat="1" ht="15.95" customHeight="1">
      <c r="A11" s="447"/>
      <c r="B11" s="447" t="s">
        <v>1052</v>
      </c>
      <c r="C11" s="554"/>
      <c r="D11" s="554">
        <v>2</v>
      </c>
      <c r="E11" s="554">
        <v>2</v>
      </c>
      <c r="F11" s="554">
        <v>2</v>
      </c>
    </row>
    <row r="12" spans="1:22" s="451" customFormat="1" ht="15.95" customHeight="1">
      <c r="A12" s="447"/>
      <c r="B12" s="447" t="s">
        <v>1035</v>
      </c>
      <c r="C12" s="554"/>
      <c r="D12" s="554">
        <v>0.5</v>
      </c>
      <c r="E12" s="554">
        <v>0.5</v>
      </c>
      <c r="F12" s="554">
        <v>0.5</v>
      </c>
    </row>
    <row r="13" spans="1:22" s="451" customFormat="1" ht="23.25" customHeight="1">
      <c r="A13" s="447"/>
      <c r="B13" s="447" t="s">
        <v>1056</v>
      </c>
      <c r="C13" s="554"/>
      <c r="D13" s="554">
        <v>0.5</v>
      </c>
      <c r="E13" s="554">
        <v>0.5</v>
      </c>
      <c r="F13" s="554">
        <v>0.5</v>
      </c>
    </row>
    <row r="14" spans="1:22" s="451" customFormat="1" ht="15.95" customHeight="1">
      <c r="A14" s="447"/>
      <c r="B14" s="447" t="s">
        <v>1059</v>
      </c>
      <c r="C14" s="554">
        <f>24095/1000000</f>
        <v>2.4094999999999998E-2</v>
      </c>
      <c r="D14" s="554">
        <v>1</v>
      </c>
      <c r="E14" s="554">
        <v>1</v>
      </c>
      <c r="F14" s="554">
        <v>1</v>
      </c>
    </row>
    <row r="15" spans="1:22" s="451" customFormat="1" ht="15.95" customHeight="1">
      <c r="A15" s="447"/>
      <c r="B15" s="447" t="s">
        <v>1036</v>
      </c>
      <c r="C15" s="554">
        <f>75000/1000000</f>
        <v>7.4999999999999997E-2</v>
      </c>
      <c r="D15" s="554">
        <v>0.5</v>
      </c>
      <c r="E15" s="554">
        <v>0.5</v>
      </c>
      <c r="F15" s="554">
        <v>0.5</v>
      </c>
    </row>
    <row r="16" spans="1:22" s="451" customFormat="1" ht="15.95" customHeight="1">
      <c r="A16" s="447"/>
      <c r="B16" s="447"/>
      <c r="C16" s="554"/>
      <c r="D16" s="554"/>
      <c r="E16" s="554"/>
      <c r="F16" s="554"/>
    </row>
    <row r="17" spans="1:22" s="451" customFormat="1" ht="15.95" customHeight="1">
      <c r="A17" s="447"/>
      <c r="B17" s="447"/>
      <c r="C17" s="554"/>
      <c r="D17" s="554"/>
      <c r="E17" s="554"/>
      <c r="F17" s="554"/>
    </row>
    <row r="18" spans="1:22" s="451" customFormat="1" ht="20.100000000000001" customHeight="1">
      <c r="A18" s="447"/>
      <c r="B18" s="448" t="s">
        <v>138</v>
      </c>
      <c r="C18" s="555">
        <f>SUM(C10:C17)</f>
        <v>9.9094999999999989E-2</v>
      </c>
      <c r="D18" s="555">
        <f t="shared" ref="D18:E18" si="0">SUM(D10:D17)</f>
        <v>5.5</v>
      </c>
      <c r="E18" s="555">
        <f t="shared" si="0"/>
        <v>5.5</v>
      </c>
      <c r="F18" s="555">
        <f t="shared" ref="F18" si="1">SUM(F10:F17)</f>
        <v>5.5</v>
      </c>
    </row>
    <row r="19" spans="1:22" s="429" customFormat="1" ht="20.100000000000001" customHeight="1">
      <c r="A19" s="455"/>
      <c r="B19" s="449"/>
      <c r="C19" s="450"/>
      <c r="D19" s="450"/>
      <c r="E19" s="450"/>
      <c r="F19" s="450"/>
    </row>
    <row r="20" spans="1:22" s="429" customFormat="1" ht="20.100000000000001" customHeight="1">
      <c r="A20" s="455"/>
      <c r="B20" s="449"/>
      <c r="C20" s="450"/>
      <c r="D20" s="450"/>
      <c r="E20" s="450"/>
      <c r="F20" s="450"/>
    </row>
    <row r="21" spans="1:22" s="429" customFormat="1" ht="18" customHeight="1">
      <c r="B21" s="453" t="s">
        <v>1057</v>
      </c>
      <c r="C21" s="450"/>
      <c r="D21" s="450"/>
      <c r="E21" s="1441" t="s">
        <v>1058</v>
      </c>
      <c r="F21" s="1441"/>
    </row>
    <row r="22" spans="1:22" s="429" customFormat="1" ht="9.75" customHeight="1">
      <c r="A22" s="455"/>
      <c r="B22" s="449"/>
      <c r="C22" s="450"/>
      <c r="D22" s="450"/>
      <c r="E22" s="450"/>
      <c r="F22" s="450"/>
    </row>
    <row r="23" spans="1:22" s="429" customFormat="1" ht="20.100000000000001" customHeight="1">
      <c r="A23" s="1444" t="s">
        <v>1060</v>
      </c>
      <c r="B23" s="1444"/>
      <c r="C23" s="1444"/>
      <c r="D23" s="1444"/>
      <c r="E23" s="450"/>
      <c r="F23" s="450"/>
    </row>
    <row r="24" spans="1:22" s="459" customFormat="1" ht="18" customHeight="1">
      <c r="A24" s="1445" t="s">
        <v>161</v>
      </c>
      <c r="B24" s="1445" t="s">
        <v>1064</v>
      </c>
      <c r="C24" s="1232" t="s">
        <v>1109</v>
      </c>
      <c r="D24" s="1232" t="s">
        <v>1092</v>
      </c>
      <c r="E24" s="1232"/>
      <c r="F24" s="1232" t="s">
        <v>1091</v>
      </c>
      <c r="G24" s="456"/>
      <c r="H24" s="456"/>
      <c r="I24" s="456"/>
      <c r="J24" s="457"/>
      <c r="K24" s="458"/>
      <c r="L24" s="458"/>
      <c r="M24" s="458"/>
      <c r="T24" s="460"/>
      <c r="U24" s="459" t="s">
        <v>1067</v>
      </c>
    </row>
    <row r="25" spans="1:22" s="461" customFormat="1" ht="25.5">
      <c r="A25" s="1445"/>
      <c r="B25" s="1445"/>
      <c r="C25" s="1232"/>
      <c r="D25" s="427" t="s">
        <v>818</v>
      </c>
      <c r="E25" s="427" t="s">
        <v>819</v>
      </c>
      <c r="F25" s="1232"/>
      <c r="J25" s="462"/>
      <c r="K25" s="462"/>
      <c r="L25" s="462"/>
      <c r="M25" s="462"/>
      <c r="T25" s="463"/>
      <c r="U25" s="464"/>
      <c r="V25" s="465"/>
    </row>
    <row r="26" spans="1:22" ht="15" customHeight="1">
      <c r="A26" s="447"/>
      <c r="B26" s="447"/>
      <c r="C26" s="454"/>
      <c r="D26" s="454"/>
      <c r="E26" s="454"/>
      <c r="F26" s="454"/>
    </row>
    <row r="27" spans="1:22" ht="15" customHeight="1">
      <c r="A27" s="447"/>
      <c r="B27" s="447"/>
      <c r="C27" s="454"/>
      <c r="D27" s="454"/>
      <c r="E27" s="454"/>
      <c r="F27" s="454"/>
    </row>
    <row r="28" spans="1:22" ht="15" customHeight="1">
      <c r="A28" s="447"/>
      <c r="B28" s="447"/>
      <c r="C28" s="454"/>
      <c r="D28" s="454"/>
      <c r="E28" s="454"/>
      <c r="F28" s="454"/>
    </row>
    <row r="29" spans="1:22" ht="15" customHeight="1">
      <c r="A29" s="447"/>
      <c r="B29" s="447"/>
      <c r="C29" s="454"/>
      <c r="D29" s="454"/>
      <c r="E29" s="454"/>
      <c r="F29" s="454"/>
    </row>
    <row r="30" spans="1:22" ht="15" customHeight="1">
      <c r="A30" s="447"/>
      <c r="B30" s="447"/>
      <c r="C30" s="454"/>
      <c r="D30" s="454"/>
      <c r="E30" s="454"/>
      <c r="F30" s="454"/>
    </row>
    <row r="31" spans="1:22" ht="15" customHeight="1">
      <c r="A31" s="447"/>
      <c r="B31" s="447"/>
      <c r="C31" s="454"/>
      <c r="D31" s="454"/>
      <c r="E31" s="454"/>
      <c r="F31" s="454"/>
    </row>
    <row r="32" spans="1:22" s="470" customFormat="1" ht="20.100000000000001" customHeight="1">
      <c r="A32" s="468"/>
      <c r="B32" s="448" t="s">
        <v>138</v>
      </c>
      <c r="C32" s="469">
        <f>SUM(C26:C31)</f>
        <v>0</v>
      </c>
      <c r="D32" s="469">
        <f t="shared" ref="D32:F32" si="2">SUM(D26:D31)</f>
        <v>0</v>
      </c>
      <c r="E32" s="469">
        <f t="shared" si="2"/>
        <v>0</v>
      </c>
      <c r="F32" s="469">
        <f t="shared" si="2"/>
        <v>0</v>
      </c>
    </row>
    <row r="33" spans="1:22" s="467" customFormat="1" ht="20.100000000000001" customHeight="1">
      <c r="A33" s="455"/>
      <c r="B33" s="449"/>
      <c r="C33" s="450"/>
      <c r="D33" s="450"/>
      <c r="E33" s="450"/>
      <c r="F33" s="450"/>
    </row>
    <row r="34" spans="1:22" s="467" customFormat="1" ht="20.100000000000001" customHeight="1">
      <c r="A34" s="455"/>
      <c r="B34" s="449"/>
      <c r="C34" s="450"/>
      <c r="D34" s="450"/>
      <c r="E34" s="450"/>
      <c r="F34" s="450"/>
    </row>
    <row r="35" spans="1:22" s="429" customFormat="1" ht="18" customHeight="1">
      <c r="B35" s="453" t="s">
        <v>1062</v>
      </c>
      <c r="C35" s="450"/>
      <c r="D35" s="450"/>
      <c r="E35" s="1441" t="s">
        <v>1058</v>
      </c>
      <c r="F35" s="1441"/>
    </row>
    <row r="36" spans="1:22" s="467" customFormat="1" ht="9" customHeight="1">
      <c r="A36" s="455"/>
      <c r="B36" s="449"/>
      <c r="C36" s="450"/>
      <c r="D36" s="450"/>
      <c r="E36" s="450"/>
      <c r="F36" s="450"/>
    </row>
    <row r="37" spans="1:22" s="467" customFormat="1" ht="20.100000000000001" customHeight="1">
      <c r="A37" s="1444" t="s">
        <v>1061</v>
      </c>
      <c r="B37" s="1444"/>
      <c r="C37" s="1444"/>
      <c r="D37" s="1444"/>
      <c r="E37" s="450"/>
      <c r="F37" s="450"/>
    </row>
    <row r="38" spans="1:22" s="459" customFormat="1" ht="18" customHeight="1">
      <c r="A38" s="1445" t="s">
        <v>161</v>
      </c>
      <c r="B38" s="1445" t="s">
        <v>1064</v>
      </c>
      <c r="C38" s="1232" t="s">
        <v>1109</v>
      </c>
      <c r="D38" s="1232" t="s">
        <v>1092</v>
      </c>
      <c r="E38" s="1232"/>
      <c r="F38" s="1232" t="s">
        <v>1091</v>
      </c>
      <c r="G38" s="456"/>
      <c r="H38" s="456"/>
      <c r="I38" s="456"/>
      <c r="J38" s="457"/>
      <c r="K38" s="458"/>
      <c r="L38" s="458"/>
      <c r="M38" s="458"/>
      <c r="T38" s="460"/>
      <c r="U38" s="459" t="s">
        <v>1067</v>
      </c>
    </row>
    <row r="39" spans="1:22" s="461" customFormat="1" ht="24" customHeight="1">
      <c r="A39" s="1445"/>
      <c r="B39" s="1445"/>
      <c r="C39" s="1232"/>
      <c r="D39" s="427" t="s">
        <v>818</v>
      </c>
      <c r="E39" s="427" t="s">
        <v>819</v>
      </c>
      <c r="F39" s="1232"/>
      <c r="J39" s="462"/>
      <c r="K39" s="462"/>
      <c r="L39" s="462"/>
      <c r="M39" s="462"/>
      <c r="T39" s="463"/>
      <c r="U39" s="464"/>
      <c r="V39" s="465"/>
    </row>
    <row r="40" spans="1:22" ht="15" customHeight="1">
      <c r="A40" s="447"/>
      <c r="B40" s="447"/>
      <c r="C40" s="454"/>
      <c r="D40" s="454"/>
      <c r="E40" s="454"/>
      <c r="F40" s="454"/>
    </row>
    <row r="41" spans="1:22" ht="15" customHeight="1">
      <c r="A41" s="447"/>
      <c r="B41" s="447"/>
      <c r="C41" s="454"/>
      <c r="D41" s="454"/>
      <c r="E41" s="454"/>
      <c r="F41" s="454"/>
    </row>
    <row r="42" spans="1:22" ht="15" customHeight="1">
      <c r="A42" s="447"/>
      <c r="B42" s="447"/>
      <c r="C42" s="454"/>
      <c r="D42" s="454"/>
      <c r="E42" s="454"/>
      <c r="F42" s="454"/>
    </row>
    <row r="43" spans="1:22" ht="15" customHeight="1">
      <c r="A43" s="447"/>
      <c r="B43" s="447"/>
      <c r="C43" s="454"/>
      <c r="D43" s="454"/>
      <c r="E43" s="454"/>
      <c r="F43" s="454"/>
    </row>
    <row r="44" spans="1:22" ht="15" customHeight="1">
      <c r="A44" s="447"/>
      <c r="B44" s="447"/>
      <c r="C44" s="454"/>
      <c r="D44" s="454"/>
      <c r="E44" s="454"/>
      <c r="F44" s="454"/>
    </row>
    <row r="45" spans="1:22" ht="15" customHeight="1">
      <c r="A45" s="447"/>
      <c r="B45" s="447"/>
      <c r="C45" s="454"/>
      <c r="D45" s="454"/>
      <c r="E45" s="454"/>
      <c r="F45" s="454"/>
    </row>
    <row r="46" spans="1:22" s="470" customFormat="1" ht="20.100000000000001" customHeight="1">
      <c r="A46" s="468"/>
      <c r="B46" s="448" t="s">
        <v>138</v>
      </c>
      <c r="C46" s="469">
        <f>SUM(C40:C45)</f>
        <v>0</v>
      </c>
      <c r="D46" s="469">
        <f t="shared" ref="D46:F46" si="3">SUM(D40:D45)</f>
        <v>0</v>
      </c>
      <c r="E46" s="469">
        <f t="shared" si="3"/>
        <v>0</v>
      </c>
      <c r="F46" s="469">
        <f t="shared" si="3"/>
        <v>0</v>
      </c>
    </row>
    <row r="47" spans="1:22" ht="21.95" customHeight="1"/>
    <row r="48" spans="1:22" ht="21.95" customHeight="1"/>
    <row r="49" spans="2:6" ht="18" customHeight="1">
      <c r="B49" s="453" t="s">
        <v>1063</v>
      </c>
      <c r="C49" s="450"/>
      <c r="D49" s="450"/>
      <c r="E49" s="1441" t="s">
        <v>1058</v>
      </c>
      <c r="F49" s="1442"/>
    </row>
  </sheetData>
  <mergeCells count="23">
    <mergeCell ref="F38:F39"/>
    <mergeCell ref="E35:F35"/>
    <mergeCell ref="A37:D37"/>
    <mergeCell ref="A38:A39"/>
    <mergeCell ref="B38:B39"/>
    <mergeCell ref="C38:C39"/>
    <mergeCell ref="D38:E38"/>
    <mergeCell ref="E49:F49"/>
    <mergeCell ref="A2:F2"/>
    <mergeCell ref="A23:D23"/>
    <mergeCell ref="E21:F21"/>
    <mergeCell ref="A24:A25"/>
    <mergeCell ref="B24:B25"/>
    <mergeCell ref="C24:C25"/>
    <mergeCell ref="D24:E24"/>
    <mergeCell ref="F24:F25"/>
    <mergeCell ref="A4:F4"/>
    <mergeCell ref="A8:A9"/>
    <mergeCell ref="B8:B9"/>
    <mergeCell ref="C8:C9"/>
    <mergeCell ref="D8:E8"/>
    <mergeCell ref="F8:F9"/>
    <mergeCell ref="A6:D6"/>
  </mergeCells>
  <printOptions horizontalCentered="1"/>
  <pageMargins left="0.45" right="0.5" top="0.25" bottom="0.25" header="0.25" footer="0"/>
  <pageSetup scale="9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W212"/>
  <sheetViews>
    <sheetView view="pageBreakPreview" zoomScaleNormal="90" zoomScaleSheetLayoutView="100" workbookViewId="0">
      <selection activeCell="E60" sqref="E60"/>
    </sheetView>
  </sheetViews>
  <sheetFormatPr defaultRowHeight="14.25"/>
  <cols>
    <col min="1" max="1" width="1" style="227" customWidth="1"/>
    <col min="2" max="2" width="32.7109375" style="186" customWidth="1"/>
    <col min="3" max="3" width="11.7109375" style="186" customWidth="1"/>
    <col min="4" max="4" width="9.7109375" style="186" customWidth="1"/>
    <col min="5" max="13" width="9.5703125" style="1" customWidth="1"/>
    <col min="14" max="14" width="36.85546875" style="10" customWidth="1"/>
    <col min="15" max="21" width="14.28515625" style="10" customWidth="1"/>
    <col min="22" max="236" width="9.140625" style="10"/>
    <col min="237" max="237" width="38.5703125" style="10" customWidth="1"/>
    <col min="238" max="238" width="6.5703125" style="10" customWidth="1"/>
    <col min="239" max="239" width="7.7109375" style="10" bestFit="1" customWidth="1"/>
    <col min="240" max="240" width="7.28515625" style="10" customWidth="1"/>
    <col min="241" max="241" width="6.5703125" style="10" bestFit="1" customWidth="1"/>
    <col min="242" max="242" width="7.28515625" style="10" bestFit="1" customWidth="1"/>
    <col min="243" max="243" width="8.140625" style="10" customWidth="1"/>
    <col min="244" max="244" width="7.140625" style="10" customWidth="1"/>
    <col min="245" max="245" width="7.7109375" style="10" bestFit="1" customWidth="1"/>
    <col min="246" max="246" width="7.28515625" style="10" customWidth="1"/>
    <col min="247" max="247" width="7" style="10" customWidth="1"/>
    <col min="248" max="248" width="7.5703125" style="10" customWidth="1"/>
    <col min="249" max="249" width="7.140625" style="10" customWidth="1"/>
    <col min="250" max="250" width="7" style="10" customWidth="1"/>
    <col min="251" max="251" width="7.5703125" style="10" customWidth="1"/>
    <col min="252" max="252" width="7.140625" style="10" customWidth="1"/>
    <col min="253" max="269" width="8.7109375" style="10" customWidth="1"/>
    <col min="270" max="270" width="36.85546875" style="10" customWidth="1"/>
    <col min="271" max="277" width="14.28515625" style="10" customWidth="1"/>
    <col min="278" max="492" width="9.140625" style="10"/>
    <col min="493" max="493" width="38.5703125" style="10" customWidth="1"/>
    <col min="494" max="494" width="6.5703125" style="10" customWidth="1"/>
    <col min="495" max="495" width="7.7109375" style="10" bestFit="1" customWidth="1"/>
    <col min="496" max="496" width="7.28515625" style="10" customWidth="1"/>
    <col min="497" max="497" width="6.5703125" style="10" bestFit="1" customWidth="1"/>
    <col min="498" max="498" width="7.28515625" style="10" bestFit="1" customWidth="1"/>
    <col min="499" max="499" width="8.140625" style="10" customWidth="1"/>
    <col min="500" max="500" width="7.140625" style="10" customWidth="1"/>
    <col min="501" max="501" width="7.7109375" style="10" bestFit="1" customWidth="1"/>
    <col min="502" max="502" width="7.28515625" style="10" customWidth="1"/>
    <col min="503" max="503" width="7" style="10" customWidth="1"/>
    <col min="504" max="504" width="7.5703125" style="10" customWidth="1"/>
    <col min="505" max="505" width="7.140625" style="10" customWidth="1"/>
    <col min="506" max="506" width="7" style="10" customWidth="1"/>
    <col min="507" max="507" width="7.5703125" style="10" customWidth="1"/>
    <col min="508" max="508" width="7.140625" style="10" customWidth="1"/>
    <col min="509" max="525" width="8.7109375" style="10" customWidth="1"/>
    <col min="526" max="526" width="36.85546875" style="10" customWidth="1"/>
    <col min="527" max="533" width="14.28515625" style="10" customWidth="1"/>
    <col min="534" max="748" width="9.140625" style="10"/>
    <col min="749" max="749" width="38.5703125" style="10" customWidth="1"/>
    <col min="750" max="750" width="6.5703125" style="10" customWidth="1"/>
    <col min="751" max="751" width="7.7109375" style="10" bestFit="1" customWidth="1"/>
    <col min="752" max="752" width="7.28515625" style="10" customWidth="1"/>
    <col min="753" max="753" width="6.5703125" style="10" bestFit="1" customWidth="1"/>
    <col min="754" max="754" width="7.28515625" style="10" bestFit="1" customWidth="1"/>
    <col min="755" max="755" width="8.140625" style="10" customWidth="1"/>
    <col min="756" max="756" width="7.140625" style="10" customWidth="1"/>
    <col min="757" max="757" width="7.7109375" style="10" bestFit="1" customWidth="1"/>
    <col min="758" max="758" width="7.28515625" style="10" customWidth="1"/>
    <col min="759" max="759" width="7" style="10" customWidth="1"/>
    <col min="760" max="760" width="7.5703125" style="10" customWidth="1"/>
    <col min="761" max="761" width="7.140625" style="10" customWidth="1"/>
    <col min="762" max="762" width="7" style="10" customWidth="1"/>
    <col min="763" max="763" width="7.5703125" style="10" customWidth="1"/>
    <col min="764" max="764" width="7.140625" style="10" customWidth="1"/>
    <col min="765" max="781" width="8.7109375" style="10" customWidth="1"/>
    <col min="782" max="782" width="36.85546875" style="10" customWidth="1"/>
    <col min="783" max="789" width="14.28515625" style="10" customWidth="1"/>
    <col min="790" max="1004" width="9.140625" style="10"/>
    <col min="1005" max="1005" width="38.5703125" style="10" customWidth="1"/>
    <col min="1006" max="1006" width="6.5703125" style="10" customWidth="1"/>
    <col min="1007" max="1007" width="7.7109375" style="10" bestFit="1" customWidth="1"/>
    <col min="1008" max="1008" width="7.28515625" style="10" customWidth="1"/>
    <col min="1009" max="1009" width="6.5703125" style="10" bestFit="1" customWidth="1"/>
    <col min="1010" max="1010" width="7.28515625" style="10" bestFit="1" customWidth="1"/>
    <col min="1011" max="1011" width="8.140625" style="10" customWidth="1"/>
    <col min="1012" max="1012" width="7.140625" style="10" customWidth="1"/>
    <col min="1013" max="1013" width="7.7109375" style="10" bestFit="1" customWidth="1"/>
    <col min="1014" max="1014" width="7.28515625" style="10" customWidth="1"/>
    <col min="1015" max="1015" width="7" style="10" customWidth="1"/>
    <col min="1016" max="1016" width="7.5703125" style="10" customWidth="1"/>
    <col min="1017" max="1017" width="7.140625" style="10" customWidth="1"/>
    <col min="1018" max="1018" width="7" style="10" customWidth="1"/>
    <col min="1019" max="1019" width="7.5703125" style="10" customWidth="1"/>
    <col min="1020" max="1020" width="7.140625" style="10" customWidth="1"/>
    <col min="1021" max="1037" width="8.7109375" style="10" customWidth="1"/>
    <col min="1038" max="1038" width="36.85546875" style="10" customWidth="1"/>
    <col min="1039" max="1045" width="14.28515625" style="10" customWidth="1"/>
    <col min="1046" max="1260" width="9.140625" style="10"/>
    <col min="1261" max="1261" width="38.5703125" style="10" customWidth="1"/>
    <col min="1262" max="1262" width="6.5703125" style="10" customWidth="1"/>
    <col min="1263" max="1263" width="7.7109375" style="10" bestFit="1" customWidth="1"/>
    <col min="1264" max="1264" width="7.28515625" style="10" customWidth="1"/>
    <col min="1265" max="1265" width="6.5703125" style="10" bestFit="1" customWidth="1"/>
    <col min="1266" max="1266" width="7.28515625" style="10" bestFit="1" customWidth="1"/>
    <col min="1267" max="1267" width="8.140625" style="10" customWidth="1"/>
    <col min="1268" max="1268" width="7.140625" style="10" customWidth="1"/>
    <col min="1269" max="1269" width="7.7109375" style="10" bestFit="1" customWidth="1"/>
    <col min="1270" max="1270" width="7.28515625" style="10" customWidth="1"/>
    <col min="1271" max="1271" width="7" style="10" customWidth="1"/>
    <col min="1272" max="1272" width="7.5703125" style="10" customWidth="1"/>
    <col min="1273" max="1273" width="7.140625" style="10" customWidth="1"/>
    <col min="1274" max="1274" width="7" style="10" customWidth="1"/>
    <col min="1275" max="1275" width="7.5703125" style="10" customWidth="1"/>
    <col min="1276" max="1276" width="7.140625" style="10" customWidth="1"/>
    <col min="1277" max="1293" width="8.7109375" style="10" customWidth="1"/>
    <col min="1294" max="1294" width="36.85546875" style="10" customWidth="1"/>
    <col min="1295" max="1301" width="14.28515625" style="10" customWidth="1"/>
    <col min="1302" max="1516" width="9.140625" style="10"/>
    <col min="1517" max="1517" width="38.5703125" style="10" customWidth="1"/>
    <col min="1518" max="1518" width="6.5703125" style="10" customWidth="1"/>
    <col min="1519" max="1519" width="7.7109375" style="10" bestFit="1" customWidth="1"/>
    <col min="1520" max="1520" width="7.28515625" style="10" customWidth="1"/>
    <col min="1521" max="1521" width="6.5703125" style="10" bestFit="1" customWidth="1"/>
    <col min="1522" max="1522" width="7.28515625" style="10" bestFit="1" customWidth="1"/>
    <col min="1523" max="1523" width="8.140625" style="10" customWidth="1"/>
    <col min="1524" max="1524" width="7.140625" style="10" customWidth="1"/>
    <col min="1525" max="1525" width="7.7109375" style="10" bestFit="1" customWidth="1"/>
    <col min="1526" max="1526" width="7.28515625" style="10" customWidth="1"/>
    <col min="1527" max="1527" width="7" style="10" customWidth="1"/>
    <col min="1528" max="1528" width="7.5703125" style="10" customWidth="1"/>
    <col min="1529" max="1529" width="7.140625" style="10" customWidth="1"/>
    <col min="1530" max="1530" width="7" style="10" customWidth="1"/>
    <col min="1531" max="1531" width="7.5703125" style="10" customWidth="1"/>
    <col min="1532" max="1532" width="7.140625" style="10" customWidth="1"/>
    <col min="1533" max="1549" width="8.7109375" style="10" customWidth="1"/>
    <col min="1550" max="1550" width="36.85546875" style="10" customWidth="1"/>
    <col min="1551" max="1557" width="14.28515625" style="10" customWidth="1"/>
    <col min="1558" max="1772" width="9.140625" style="10"/>
    <col min="1773" max="1773" width="38.5703125" style="10" customWidth="1"/>
    <col min="1774" max="1774" width="6.5703125" style="10" customWidth="1"/>
    <col min="1775" max="1775" width="7.7109375" style="10" bestFit="1" customWidth="1"/>
    <col min="1776" max="1776" width="7.28515625" style="10" customWidth="1"/>
    <col min="1777" max="1777" width="6.5703125" style="10" bestFit="1" customWidth="1"/>
    <col min="1778" max="1778" width="7.28515625" style="10" bestFit="1" customWidth="1"/>
    <col min="1779" max="1779" width="8.140625" style="10" customWidth="1"/>
    <col min="1780" max="1780" width="7.140625" style="10" customWidth="1"/>
    <col min="1781" max="1781" width="7.7109375" style="10" bestFit="1" customWidth="1"/>
    <col min="1782" max="1782" width="7.28515625" style="10" customWidth="1"/>
    <col min="1783" max="1783" width="7" style="10" customWidth="1"/>
    <col min="1784" max="1784" width="7.5703125" style="10" customWidth="1"/>
    <col min="1785" max="1785" width="7.140625" style="10" customWidth="1"/>
    <col min="1786" max="1786" width="7" style="10" customWidth="1"/>
    <col min="1787" max="1787" width="7.5703125" style="10" customWidth="1"/>
    <col min="1788" max="1788" width="7.140625" style="10" customWidth="1"/>
    <col min="1789" max="1805" width="8.7109375" style="10" customWidth="1"/>
    <col min="1806" max="1806" width="36.85546875" style="10" customWidth="1"/>
    <col min="1807" max="1813" width="14.28515625" style="10" customWidth="1"/>
    <col min="1814" max="2028" width="9.140625" style="10"/>
    <col min="2029" max="2029" width="38.5703125" style="10" customWidth="1"/>
    <col min="2030" max="2030" width="6.5703125" style="10" customWidth="1"/>
    <col min="2031" max="2031" width="7.7109375" style="10" bestFit="1" customWidth="1"/>
    <col min="2032" max="2032" width="7.28515625" style="10" customWidth="1"/>
    <col min="2033" max="2033" width="6.5703125" style="10" bestFit="1" customWidth="1"/>
    <col min="2034" max="2034" width="7.28515625" style="10" bestFit="1" customWidth="1"/>
    <col min="2035" max="2035" width="8.140625" style="10" customWidth="1"/>
    <col min="2036" max="2036" width="7.140625" style="10" customWidth="1"/>
    <col min="2037" max="2037" width="7.7109375" style="10" bestFit="1" customWidth="1"/>
    <col min="2038" max="2038" width="7.28515625" style="10" customWidth="1"/>
    <col min="2039" max="2039" width="7" style="10" customWidth="1"/>
    <col min="2040" max="2040" width="7.5703125" style="10" customWidth="1"/>
    <col min="2041" max="2041" width="7.140625" style="10" customWidth="1"/>
    <col min="2042" max="2042" width="7" style="10" customWidth="1"/>
    <col min="2043" max="2043" width="7.5703125" style="10" customWidth="1"/>
    <col min="2044" max="2044" width="7.140625" style="10" customWidth="1"/>
    <col min="2045" max="2061" width="8.7109375" style="10" customWidth="1"/>
    <col min="2062" max="2062" width="36.85546875" style="10" customWidth="1"/>
    <col min="2063" max="2069" width="14.28515625" style="10" customWidth="1"/>
    <col min="2070" max="2284" width="9.140625" style="10"/>
    <col min="2285" max="2285" width="38.5703125" style="10" customWidth="1"/>
    <col min="2286" max="2286" width="6.5703125" style="10" customWidth="1"/>
    <col min="2287" max="2287" width="7.7109375" style="10" bestFit="1" customWidth="1"/>
    <col min="2288" max="2288" width="7.28515625" style="10" customWidth="1"/>
    <col min="2289" max="2289" width="6.5703125" style="10" bestFit="1" customWidth="1"/>
    <col min="2290" max="2290" width="7.28515625" style="10" bestFit="1" customWidth="1"/>
    <col min="2291" max="2291" width="8.140625" style="10" customWidth="1"/>
    <col min="2292" max="2292" width="7.140625" style="10" customWidth="1"/>
    <col min="2293" max="2293" width="7.7109375" style="10" bestFit="1" customWidth="1"/>
    <col min="2294" max="2294" width="7.28515625" style="10" customWidth="1"/>
    <col min="2295" max="2295" width="7" style="10" customWidth="1"/>
    <col min="2296" max="2296" width="7.5703125" style="10" customWidth="1"/>
    <col min="2297" max="2297" width="7.140625" style="10" customWidth="1"/>
    <col min="2298" max="2298" width="7" style="10" customWidth="1"/>
    <col min="2299" max="2299" width="7.5703125" style="10" customWidth="1"/>
    <col min="2300" max="2300" width="7.140625" style="10" customWidth="1"/>
    <col min="2301" max="2317" width="8.7109375" style="10" customWidth="1"/>
    <col min="2318" max="2318" width="36.85546875" style="10" customWidth="1"/>
    <col min="2319" max="2325" width="14.28515625" style="10" customWidth="1"/>
    <col min="2326" max="2540" width="9.140625" style="10"/>
    <col min="2541" max="2541" width="38.5703125" style="10" customWidth="1"/>
    <col min="2542" max="2542" width="6.5703125" style="10" customWidth="1"/>
    <col min="2543" max="2543" width="7.7109375" style="10" bestFit="1" customWidth="1"/>
    <col min="2544" max="2544" width="7.28515625" style="10" customWidth="1"/>
    <col min="2545" max="2545" width="6.5703125" style="10" bestFit="1" customWidth="1"/>
    <col min="2546" max="2546" width="7.28515625" style="10" bestFit="1" customWidth="1"/>
    <col min="2547" max="2547" width="8.140625" style="10" customWidth="1"/>
    <col min="2548" max="2548" width="7.140625" style="10" customWidth="1"/>
    <col min="2549" max="2549" width="7.7109375" style="10" bestFit="1" customWidth="1"/>
    <col min="2550" max="2550" width="7.28515625" style="10" customWidth="1"/>
    <col min="2551" max="2551" width="7" style="10" customWidth="1"/>
    <col min="2552" max="2552" width="7.5703125" style="10" customWidth="1"/>
    <col min="2553" max="2553" width="7.140625" style="10" customWidth="1"/>
    <col min="2554" max="2554" width="7" style="10" customWidth="1"/>
    <col min="2555" max="2555" width="7.5703125" style="10" customWidth="1"/>
    <col min="2556" max="2556" width="7.140625" style="10" customWidth="1"/>
    <col min="2557" max="2573" width="8.7109375" style="10" customWidth="1"/>
    <col min="2574" max="2574" width="36.85546875" style="10" customWidth="1"/>
    <col min="2575" max="2581" width="14.28515625" style="10" customWidth="1"/>
    <col min="2582" max="2796" width="9.140625" style="10"/>
    <col min="2797" max="2797" width="38.5703125" style="10" customWidth="1"/>
    <col min="2798" max="2798" width="6.5703125" style="10" customWidth="1"/>
    <col min="2799" max="2799" width="7.7109375" style="10" bestFit="1" customWidth="1"/>
    <col min="2800" max="2800" width="7.28515625" style="10" customWidth="1"/>
    <col min="2801" max="2801" width="6.5703125" style="10" bestFit="1" customWidth="1"/>
    <col min="2802" max="2802" width="7.28515625" style="10" bestFit="1" customWidth="1"/>
    <col min="2803" max="2803" width="8.140625" style="10" customWidth="1"/>
    <col min="2804" max="2804" width="7.140625" style="10" customWidth="1"/>
    <col min="2805" max="2805" width="7.7109375" style="10" bestFit="1" customWidth="1"/>
    <col min="2806" max="2806" width="7.28515625" style="10" customWidth="1"/>
    <col min="2807" max="2807" width="7" style="10" customWidth="1"/>
    <col min="2808" max="2808" width="7.5703125" style="10" customWidth="1"/>
    <col min="2809" max="2809" width="7.140625" style="10" customWidth="1"/>
    <col min="2810" max="2810" width="7" style="10" customWidth="1"/>
    <col min="2811" max="2811" width="7.5703125" style="10" customWidth="1"/>
    <col min="2812" max="2812" width="7.140625" style="10" customWidth="1"/>
    <col min="2813" max="2829" width="8.7109375" style="10" customWidth="1"/>
    <col min="2830" max="2830" width="36.85546875" style="10" customWidth="1"/>
    <col min="2831" max="2837" width="14.28515625" style="10" customWidth="1"/>
    <col min="2838" max="3052" width="9.140625" style="10"/>
    <col min="3053" max="3053" width="38.5703125" style="10" customWidth="1"/>
    <col min="3054" max="3054" width="6.5703125" style="10" customWidth="1"/>
    <col min="3055" max="3055" width="7.7109375" style="10" bestFit="1" customWidth="1"/>
    <col min="3056" max="3056" width="7.28515625" style="10" customWidth="1"/>
    <col min="3057" max="3057" width="6.5703125" style="10" bestFit="1" customWidth="1"/>
    <col min="3058" max="3058" width="7.28515625" style="10" bestFit="1" customWidth="1"/>
    <col min="3059" max="3059" width="8.140625" style="10" customWidth="1"/>
    <col min="3060" max="3060" width="7.140625" style="10" customWidth="1"/>
    <col min="3061" max="3061" width="7.7109375" style="10" bestFit="1" customWidth="1"/>
    <col min="3062" max="3062" width="7.28515625" style="10" customWidth="1"/>
    <col min="3063" max="3063" width="7" style="10" customWidth="1"/>
    <col min="3064" max="3064" width="7.5703125" style="10" customWidth="1"/>
    <col min="3065" max="3065" width="7.140625" style="10" customWidth="1"/>
    <col min="3066" max="3066" width="7" style="10" customWidth="1"/>
    <col min="3067" max="3067" width="7.5703125" style="10" customWidth="1"/>
    <col min="3068" max="3068" width="7.140625" style="10" customWidth="1"/>
    <col min="3069" max="3085" width="8.7109375" style="10" customWidth="1"/>
    <col min="3086" max="3086" width="36.85546875" style="10" customWidth="1"/>
    <col min="3087" max="3093" width="14.28515625" style="10" customWidth="1"/>
    <col min="3094" max="3308" width="9.140625" style="10"/>
    <col min="3309" max="3309" width="38.5703125" style="10" customWidth="1"/>
    <col min="3310" max="3310" width="6.5703125" style="10" customWidth="1"/>
    <col min="3311" max="3311" width="7.7109375" style="10" bestFit="1" customWidth="1"/>
    <col min="3312" max="3312" width="7.28515625" style="10" customWidth="1"/>
    <col min="3313" max="3313" width="6.5703125" style="10" bestFit="1" customWidth="1"/>
    <col min="3314" max="3314" width="7.28515625" style="10" bestFit="1" customWidth="1"/>
    <col min="3315" max="3315" width="8.140625" style="10" customWidth="1"/>
    <col min="3316" max="3316" width="7.140625" style="10" customWidth="1"/>
    <col min="3317" max="3317" width="7.7109375" style="10" bestFit="1" customWidth="1"/>
    <col min="3318" max="3318" width="7.28515625" style="10" customWidth="1"/>
    <col min="3319" max="3319" width="7" style="10" customWidth="1"/>
    <col min="3320" max="3320" width="7.5703125" style="10" customWidth="1"/>
    <col min="3321" max="3321" width="7.140625" style="10" customWidth="1"/>
    <col min="3322" max="3322" width="7" style="10" customWidth="1"/>
    <col min="3323" max="3323" width="7.5703125" style="10" customWidth="1"/>
    <col min="3324" max="3324" width="7.140625" style="10" customWidth="1"/>
    <col min="3325" max="3341" width="8.7109375" style="10" customWidth="1"/>
    <col min="3342" max="3342" width="36.85546875" style="10" customWidth="1"/>
    <col min="3343" max="3349" width="14.28515625" style="10" customWidth="1"/>
    <col min="3350" max="3564" width="9.140625" style="10"/>
    <col min="3565" max="3565" width="38.5703125" style="10" customWidth="1"/>
    <col min="3566" max="3566" width="6.5703125" style="10" customWidth="1"/>
    <col min="3567" max="3567" width="7.7109375" style="10" bestFit="1" customWidth="1"/>
    <col min="3568" max="3568" width="7.28515625" style="10" customWidth="1"/>
    <col min="3569" max="3569" width="6.5703125" style="10" bestFit="1" customWidth="1"/>
    <col min="3570" max="3570" width="7.28515625" style="10" bestFit="1" customWidth="1"/>
    <col min="3571" max="3571" width="8.140625" style="10" customWidth="1"/>
    <col min="3572" max="3572" width="7.140625" style="10" customWidth="1"/>
    <col min="3573" max="3573" width="7.7109375" style="10" bestFit="1" customWidth="1"/>
    <col min="3574" max="3574" width="7.28515625" style="10" customWidth="1"/>
    <col min="3575" max="3575" width="7" style="10" customWidth="1"/>
    <col min="3576" max="3576" width="7.5703125" style="10" customWidth="1"/>
    <col min="3577" max="3577" width="7.140625" style="10" customWidth="1"/>
    <col min="3578" max="3578" width="7" style="10" customWidth="1"/>
    <col min="3579" max="3579" width="7.5703125" style="10" customWidth="1"/>
    <col min="3580" max="3580" width="7.140625" style="10" customWidth="1"/>
    <col min="3581" max="3597" width="8.7109375" style="10" customWidth="1"/>
    <col min="3598" max="3598" width="36.85546875" style="10" customWidth="1"/>
    <col min="3599" max="3605" width="14.28515625" style="10" customWidth="1"/>
    <col min="3606" max="3820" width="9.140625" style="10"/>
    <col min="3821" max="3821" width="38.5703125" style="10" customWidth="1"/>
    <col min="3822" max="3822" width="6.5703125" style="10" customWidth="1"/>
    <col min="3823" max="3823" width="7.7109375" style="10" bestFit="1" customWidth="1"/>
    <col min="3824" max="3824" width="7.28515625" style="10" customWidth="1"/>
    <col min="3825" max="3825" width="6.5703125" style="10" bestFit="1" customWidth="1"/>
    <col min="3826" max="3826" width="7.28515625" style="10" bestFit="1" customWidth="1"/>
    <col min="3827" max="3827" width="8.140625" style="10" customWidth="1"/>
    <col min="3828" max="3828" width="7.140625" style="10" customWidth="1"/>
    <col min="3829" max="3829" width="7.7109375" style="10" bestFit="1" customWidth="1"/>
    <col min="3830" max="3830" width="7.28515625" style="10" customWidth="1"/>
    <col min="3831" max="3831" width="7" style="10" customWidth="1"/>
    <col min="3832" max="3832" width="7.5703125" style="10" customWidth="1"/>
    <col min="3833" max="3833" width="7.140625" style="10" customWidth="1"/>
    <col min="3834" max="3834" width="7" style="10" customWidth="1"/>
    <col min="3835" max="3835" width="7.5703125" style="10" customWidth="1"/>
    <col min="3836" max="3836" width="7.140625" style="10" customWidth="1"/>
    <col min="3837" max="3853" width="8.7109375" style="10" customWidth="1"/>
    <col min="3854" max="3854" width="36.85546875" style="10" customWidth="1"/>
    <col min="3855" max="3861" width="14.28515625" style="10" customWidth="1"/>
    <col min="3862" max="4076" width="9.140625" style="10"/>
    <col min="4077" max="4077" width="38.5703125" style="10" customWidth="1"/>
    <col min="4078" max="4078" width="6.5703125" style="10" customWidth="1"/>
    <col min="4079" max="4079" width="7.7109375" style="10" bestFit="1" customWidth="1"/>
    <col min="4080" max="4080" width="7.28515625" style="10" customWidth="1"/>
    <col min="4081" max="4081" width="6.5703125" style="10" bestFit="1" customWidth="1"/>
    <col min="4082" max="4082" width="7.28515625" style="10" bestFit="1" customWidth="1"/>
    <col min="4083" max="4083" width="8.140625" style="10" customWidth="1"/>
    <col min="4084" max="4084" width="7.140625" style="10" customWidth="1"/>
    <col min="4085" max="4085" width="7.7109375" style="10" bestFit="1" customWidth="1"/>
    <col min="4086" max="4086" width="7.28515625" style="10" customWidth="1"/>
    <col min="4087" max="4087" width="7" style="10" customWidth="1"/>
    <col min="4088" max="4088" width="7.5703125" style="10" customWidth="1"/>
    <col min="4089" max="4089" width="7.140625" style="10" customWidth="1"/>
    <col min="4090" max="4090" width="7" style="10" customWidth="1"/>
    <col min="4091" max="4091" width="7.5703125" style="10" customWidth="1"/>
    <col min="4092" max="4092" width="7.140625" style="10" customWidth="1"/>
    <col min="4093" max="4109" width="8.7109375" style="10" customWidth="1"/>
    <col min="4110" max="4110" width="36.85546875" style="10" customWidth="1"/>
    <col min="4111" max="4117" width="14.28515625" style="10" customWidth="1"/>
    <col min="4118" max="4332" width="9.140625" style="10"/>
    <col min="4333" max="4333" width="38.5703125" style="10" customWidth="1"/>
    <col min="4334" max="4334" width="6.5703125" style="10" customWidth="1"/>
    <col min="4335" max="4335" width="7.7109375" style="10" bestFit="1" customWidth="1"/>
    <col min="4336" max="4336" width="7.28515625" style="10" customWidth="1"/>
    <col min="4337" max="4337" width="6.5703125" style="10" bestFit="1" customWidth="1"/>
    <col min="4338" max="4338" width="7.28515625" style="10" bestFit="1" customWidth="1"/>
    <col min="4339" max="4339" width="8.140625" style="10" customWidth="1"/>
    <col min="4340" max="4340" width="7.140625" style="10" customWidth="1"/>
    <col min="4341" max="4341" width="7.7109375" style="10" bestFit="1" customWidth="1"/>
    <col min="4342" max="4342" width="7.28515625" style="10" customWidth="1"/>
    <col min="4343" max="4343" width="7" style="10" customWidth="1"/>
    <col min="4344" max="4344" width="7.5703125" style="10" customWidth="1"/>
    <col min="4345" max="4345" width="7.140625" style="10" customWidth="1"/>
    <col min="4346" max="4346" width="7" style="10" customWidth="1"/>
    <col min="4347" max="4347" width="7.5703125" style="10" customWidth="1"/>
    <col min="4348" max="4348" width="7.140625" style="10" customWidth="1"/>
    <col min="4349" max="4365" width="8.7109375" style="10" customWidth="1"/>
    <col min="4366" max="4366" width="36.85546875" style="10" customWidth="1"/>
    <col min="4367" max="4373" width="14.28515625" style="10" customWidth="1"/>
    <col min="4374" max="4588" width="9.140625" style="10"/>
    <col min="4589" max="4589" width="38.5703125" style="10" customWidth="1"/>
    <col min="4590" max="4590" width="6.5703125" style="10" customWidth="1"/>
    <col min="4591" max="4591" width="7.7109375" style="10" bestFit="1" customWidth="1"/>
    <col min="4592" max="4592" width="7.28515625" style="10" customWidth="1"/>
    <col min="4593" max="4593" width="6.5703125" style="10" bestFit="1" customWidth="1"/>
    <col min="4594" max="4594" width="7.28515625" style="10" bestFit="1" customWidth="1"/>
    <col min="4595" max="4595" width="8.140625" style="10" customWidth="1"/>
    <col min="4596" max="4596" width="7.140625" style="10" customWidth="1"/>
    <col min="4597" max="4597" width="7.7109375" style="10" bestFit="1" customWidth="1"/>
    <col min="4598" max="4598" width="7.28515625" style="10" customWidth="1"/>
    <col min="4599" max="4599" width="7" style="10" customWidth="1"/>
    <col min="4600" max="4600" width="7.5703125" style="10" customWidth="1"/>
    <col min="4601" max="4601" width="7.140625" style="10" customWidth="1"/>
    <col min="4602" max="4602" width="7" style="10" customWidth="1"/>
    <col min="4603" max="4603" width="7.5703125" style="10" customWidth="1"/>
    <col min="4604" max="4604" width="7.140625" style="10" customWidth="1"/>
    <col min="4605" max="4621" width="8.7109375" style="10" customWidth="1"/>
    <col min="4622" max="4622" width="36.85546875" style="10" customWidth="1"/>
    <col min="4623" max="4629" width="14.28515625" style="10" customWidth="1"/>
    <col min="4630" max="4844" width="9.140625" style="10"/>
    <col min="4845" max="4845" width="38.5703125" style="10" customWidth="1"/>
    <col min="4846" max="4846" width="6.5703125" style="10" customWidth="1"/>
    <col min="4847" max="4847" width="7.7109375" style="10" bestFit="1" customWidth="1"/>
    <col min="4848" max="4848" width="7.28515625" style="10" customWidth="1"/>
    <col min="4849" max="4849" width="6.5703125" style="10" bestFit="1" customWidth="1"/>
    <col min="4850" max="4850" width="7.28515625" style="10" bestFit="1" customWidth="1"/>
    <col min="4851" max="4851" width="8.140625" style="10" customWidth="1"/>
    <col min="4852" max="4852" width="7.140625" style="10" customWidth="1"/>
    <col min="4853" max="4853" width="7.7109375" style="10" bestFit="1" customWidth="1"/>
    <col min="4854" max="4854" width="7.28515625" style="10" customWidth="1"/>
    <col min="4855" max="4855" width="7" style="10" customWidth="1"/>
    <col min="4856" max="4856" width="7.5703125" style="10" customWidth="1"/>
    <col min="4857" max="4857" width="7.140625" style="10" customWidth="1"/>
    <col min="4858" max="4858" width="7" style="10" customWidth="1"/>
    <col min="4859" max="4859" width="7.5703125" style="10" customWidth="1"/>
    <col min="4860" max="4860" width="7.140625" style="10" customWidth="1"/>
    <col min="4861" max="4877" width="8.7109375" style="10" customWidth="1"/>
    <col min="4878" max="4878" width="36.85546875" style="10" customWidth="1"/>
    <col min="4879" max="4885" width="14.28515625" style="10" customWidth="1"/>
    <col min="4886" max="5100" width="9.140625" style="10"/>
    <col min="5101" max="5101" width="38.5703125" style="10" customWidth="1"/>
    <col min="5102" max="5102" width="6.5703125" style="10" customWidth="1"/>
    <col min="5103" max="5103" width="7.7109375" style="10" bestFit="1" customWidth="1"/>
    <col min="5104" max="5104" width="7.28515625" style="10" customWidth="1"/>
    <col min="5105" max="5105" width="6.5703125" style="10" bestFit="1" customWidth="1"/>
    <col min="5106" max="5106" width="7.28515625" style="10" bestFit="1" customWidth="1"/>
    <col min="5107" max="5107" width="8.140625" style="10" customWidth="1"/>
    <col min="5108" max="5108" width="7.140625" style="10" customWidth="1"/>
    <col min="5109" max="5109" width="7.7109375" style="10" bestFit="1" customWidth="1"/>
    <col min="5110" max="5110" width="7.28515625" style="10" customWidth="1"/>
    <col min="5111" max="5111" width="7" style="10" customWidth="1"/>
    <col min="5112" max="5112" width="7.5703125" style="10" customWidth="1"/>
    <col min="5113" max="5113" width="7.140625" style="10" customWidth="1"/>
    <col min="5114" max="5114" width="7" style="10" customWidth="1"/>
    <col min="5115" max="5115" width="7.5703125" style="10" customWidth="1"/>
    <col min="5116" max="5116" width="7.140625" style="10" customWidth="1"/>
    <col min="5117" max="5133" width="8.7109375" style="10" customWidth="1"/>
    <col min="5134" max="5134" width="36.85546875" style="10" customWidth="1"/>
    <col min="5135" max="5141" width="14.28515625" style="10" customWidth="1"/>
    <col min="5142" max="5356" width="9.140625" style="10"/>
    <col min="5357" max="5357" width="38.5703125" style="10" customWidth="1"/>
    <col min="5358" max="5358" width="6.5703125" style="10" customWidth="1"/>
    <col min="5359" max="5359" width="7.7109375" style="10" bestFit="1" customWidth="1"/>
    <col min="5360" max="5360" width="7.28515625" style="10" customWidth="1"/>
    <col min="5361" max="5361" width="6.5703125" style="10" bestFit="1" customWidth="1"/>
    <col min="5362" max="5362" width="7.28515625" style="10" bestFit="1" customWidth="1"/>
    <col min="5363" max="5363" width="8.140625" style="10" customWidth="1"/>
    <col min="5364" max="5364" width="7.140625" style="10" customWidth="1"/>
    <col min="5365" max="5365" width="7.7109375" style="10" bestFit="1" customWidth="1"/>
    <col min="5366" max="5366" width="7.28515625" style="10" customWidth="1"/>
    <col min="5367" max="5367" width="7" style="10" customWidth="1"/>
    <col min="5368" max="5368" width="7.5703125" style="10" customWidth="1"/>
    <col min="5369" max="5369" width="7.140625" style="10" customWidth="1"/>
    <col min="5370" max="5370" width="7" style="10" customWidth="1"/>
    <col min="5371" max="5371" width="7.5703125" style="10" customWidth="1"/>
    <col min="5372" max="5372" width="7.140625" style="10" customWidth="1"/>
    <col min="5373" max="5389" width="8.7109375" style="10" customWidth="1"/>
    <col min="5390" max="5390" width="36.85546875" style="10" customWidth="1"/>
    <col min="5391" max="5397" width="14.28515625" style="10" customWidth="1"/>
    <col min="5398" max="5612" width="9.140625" style="10"/>
    <col min="5613" max="5613" width="38.5703125" style="10" customWidth="1"/>
    <col min="5614" max="5614" width="6.5703125" style="10" customWidth="1"/>
    <col min="5615" max="5615" width="7.7109375" style="10" bestFit="1" customWidth="1"/>
    <col min="5616" max="5616" width="7.28515625" style="10" customWidth="1"/>
    <col min="5617" max="5617" width="6.5703125" style="10" bestFit="1" customWidth="1"/>
    <col min="5618" max="5618" width="7.28515625" style="10" bestFit="1" customWidth="1"/>
    <col min="5619" max="5619" width="8.140625" style="10" customWidth="1"/>
    <col min="5620" max="5620" width="7.140625" style="10" customWidth="1"/>
    <col min="5621" max="5621" width="7.7109375" style="10" bestFit="1" customWidth="1"/>
    <col min="5622" max="5622" width="7.28515625" style="10" customWidth="1"/>
    <col min="5623" max="5623" width="7" style="10" customWidth="1"/>
    <col min="5624" max="5624" width="7.5703125" style="10" customWidth="1"/>
    <col min="5625" max="5625" width="7.140625" style="10" customWidth="1"/>
    <col min="5626" max="5626" width="7" style="10" customWidth="1"/>
    <col min="5627" max="5627" width="7.5703125" style="10" customWidth="1"/>
    <col min="5628" max="5628" width="7.140625" style="10" customWidth="1"/>
    <col min="5629" max="5645" width="8.7109375" style="10" customWidth="1"/>
    <col min="5646" max="5646" width="36.85546875" style="10" customWidth="1"/>
    <col min="5647" max="5653" width="14.28515625" style="10" customWidth="1"/>
    <col min="5654" max="5868" width="9.140625" style="10"/>
    <col min="5869" max="5869" width="38.5703125" style="10" customWidth="1"/>
    <col min="5870" max="5870" width="6.5703125" style="10" customWidth="1"/>
    <col min="5871" max="5871" width="7.7109375" style="10" bestFit="1" customWidth="1"/>
    <col min="5872" max="5872" width="7.28515625" style="10" customWidth="1"/>
    <col min="5873" max="5873" width="6.5703125" style="10" bestFit="1" customWidth="1"/>
    <col min="5874" max="5874" width="7.28515625" style="10" bestFit="1" customWidth="1"/>
    <col min="5875" max="5875" width="8.140625" style="10" customWidth="1"/>
    <col min="5876" max="5876" width="7.140625" style="10" customWidth="1"/>
    <col min="5877" max="5877" width="7.7109375" style="10" bestFit="1" customWidth="1"/>
    <col min="5878" max="5878" width="7.28515625" style="10" customWidth="1"/>
    <col min="5879" max="5879" width="7" style="10" customWidth="1"/>
    <col min="5880" max="5880" width="7.5703125" style="10" customWidth="1"/>
    <col min="5881" max="5881" width="7.140625" style="10" customWidth="1"/>
    <col min="5882" max="5882" width="7" style="10" customWidth="1"/>
    <col min="5883" max="5883" width="7.5703125" style="10" customWidth="1"/>
    <col min="5884" max="5884" width="7.140625" style="10" customWidth="1"/>
    <col min="5885" max="5901" width="8.7109375" style="10" customWidth="1"/>
    <col min="5902" max="5902" width="36.85546875" style="10" customWidth="1"/>
    <col min="5903" max="5909" width="14.28515625" style="10" customWidth="1"/>
    <col min="5910" max="6124" width="9.140625" style="10"/>
    <col min="6125" max="6125" width="38.5703125" style="10" customWidth="1"/>
    <col min="6126" max="6126" width="6.5703125" style="10" customWidth="1"/>
    <col min="6127" max="6127" width="7.7109375" style="10" bestFit="1" customWidth="1"/>
    <col min="6128" max="6128" width="7.28515625" style="10" customWidth="1"/>
    <col min="6129" max="6129" width="6.5703125" style="10" bestFit="1" customWidth="1"/>
    <col min="6130" max="6130" width="7.28515625" style="10" bestFit="1" customWidth="1"/>
    <col min="6131" max="6131" width="8.140625" style="10" customWidth="1"/>
    <col min="6132" max="6132" width="7.140625" style="10" customWidth="1"/>
    <col min="6133" max="6133" width="7.7109375" style="10" bestFit="1" customWidth="1"/>
    <col min="6134" max="6134" width="7.28515625" style="10" customWidth="1"/>
    <col min="6135" max="6135" width="7" style="10" customWidth="1"/>
    <col min="6136" max="6136" width="7.5703125" style="10" customWidth="1"/>
    <col min="6137" max="6137" width="7.140625" style="10" customWidth="1"/>
    <col min="6138" max="6138" width="7" style="10" customWidth="1"/>
    <col min="6139" max="6139" width="7.5703125" style="10" customWidth="1"/>
    <col min="6140" max="6140" width="7.140625" style="10" customWidth="1"/>
    <col min="6141" max="6157" width="8.7109375" style="10" customWidth="1"/>
    <col min="6158" max="6158" width="36.85546875" style="10" customWidth="1"/>
    <col min="6159" max="6165" width="14.28515625" style="10" customWidth="1"/>
    <col min="6166" max="6380" width="9.140625" style="10"/>
    <col min="6381" max="6381" width="38.5703125" style="10" customWidth="1"/>
    <col min="6382" max="6382" width="6.5703125" style="10" customWidth="1"/>
    <col min="6383" max="6383" width="7.7109375" style="10" bestFit="1" customWidth="1"/>
    <col min="6384" max="6384" width="7.28515625" style="10" customWidth="1"/>
    <col min="6385" max="6385" width="6.5703125" style="10" bestFit="1" customWidth="1"/>
    <col min="6386" max="6386" width="7.28515625" style="10" bestFit="1" customWidth="1"/>
    <col min="6387" max="6387" width="8.140625" style="10" customWidth="1"/>
    <col min="6388" max="6388" width="7.140625" style="10" customWidth="1"/>
    <col min="6389" max="6389" width="7.7109375" style="10" bestFit="1" customWidth="1"/>
    <col min="6390" max="6390" width="7.28515625" style="10" customWidth="1"/>
    <col min="6391" max="6391" width="7" style="10" customWidth="1"/>
    <col min="6392" max="6392" width="7.5703125" style="10" customWidth="1"/>
    <col min="6393" max="6393" width="7.140625" style="10" customWidth="1"/>
    <col min="6394" max="6394" width="7" style="10" customWidth="1"/>
    <col min="6395" max="6395" width="7.5703125" style="10" customWidth="1"/>
    <col min="6396" max="6396" width="7.140625" style="10" customWidth="1"/>
    <col min="6397" max="6413" width="8.7109375" style="10" customWidth="1"/>
    <col min="6414" max="6414" width="36.85546875" style="10" customWidth="1"/>
    <col min="6415" max="6421" width="14.28515625" style="10" customWidth="1"/>
    <col min="6422" max="6636" width="9.140625" style="10"/>
    <col min="6637" max="6637" width="38.5703125" style="10" customWidth="1"/>
    <col min="6638" max="6638" width="6.5703125" style="10" customWidth="1"/>
    <col min="6639" max="6639" width="7.7109375" style="10" bestFit="1" customWidth="1"/>
    <col min="6640" max="6640" width="7.28515625" style="10" customWidth="1"/>
    <col min="6641" max="6641" width="6.5703125" style="10" bestFit="1" customWidth="1"/>
    <col min="6642" max="6642" width="7.28515625" style="10" bestFit="1" customWidth="1"/>
    <col min="6643" max="6643" width="8.140625" style="10" customWidth="1"/>
    <col min="6644" max="6644" width="7.140625" style="10" customWidth="1"/>
    <col min="6645" max="6645" width="7.7109375" style="10" bestFit="1" customWidth="1"/>
    <col min="6646" max="6646" width="7.28515625" style="10" customWidth="1"/>
    <col min="6647" max="6647" width="7" style="10" customWidth="1"/>
    <col min="6648" max="6648" width="7.5703125" style="10" customWidth="1"/>
    <col min="6649" max="6649" width="7.140625" style="10" customWidth="1"/>
    <col min="6650" max="6650" width="7" style="10" customWidth="1"/>
    <col min="6651" max="6651" width="7.5703125" style="10" customWidth="1"/>
    <col min="6652" max="6652" width="7.140625" style="10" customWidth="1"/>
    <col min="6653" max="6669" width="8.7109375" style="10" customWidth="1"/>
    <col min="6670" max="6670" width="36.85546875" style="10" customWidth="1"/>
    <col min="6671" max="6677" width="14.28515625" style="10" customWidth="1"/>
    <col min="6678" max="6892" width="9.140625" style="10"/>
    <col min="6893" max="6893" width="38.5703125" style="10" customWidth="1"/>
    <col min="6894" max="6894" width="6.5703125" style="10" customWidth="1"/>
    <col min="6895" max="6895" width="7.7109375" style="10" bestFit="1" customWidth="1"/>
    <col min="6896" max="6896" width="7.28515625" style="10" customWidth="1"/>
    <col min="6897" max="6897" width="6.5703125" style="10" bestFit="1" customWidth="1"/>
    <col min="6898" max="6898" width="7.28515625" style="10" bestFit="1" customWidth="1"/>
    <col min="6899" max="6899" width="8.140625" style="10" customWidth="1"/>
    <col min="6900" max="6900" width="7.140625" style="10" customWidth="1"/>
    <col min="6901" max="6901" width="7.7109375" style="10" bestFit="1" customWidth="1"/>
    <col min="6902" max="6902" width="7.28515625" style="10" customWidth="1"/>
    <col min="6903" max="6903" width="7" style="10" customWidth="1"/>
    <col min="6904" max="6904" width="7.5703125" style="10" customWidth="1"/>
    <col min="6905" max="6905" width="7.140625" style="10" customWidth="1"/>
    <col min="6906" max="6906" width="7" style="10" customWidth="1"/>
    <col min="6907" max="6907" width="7.5703125" style="10" customWidth="1"/>
    <col min="6908" max="6908" width="7.140625" style="10" customWidth="1"/>
    <col min="6909" max="6925" width="8.7109375" style="10" customWidth="1"/>
    <col min="6926" max="6926" width="36.85546875" style="10" customWidth="1"/>
    <col min="6927" max="6933" width="14.28515625" style="10" customWidth="1"/>
    <col min="6934" max="7148" width="9.140625" style="10"/>
    <col min="7149" max="7149" width="38.5703125" style="10" customWidth="1"/>
    <col min="7150" max="7150" width="6.5703125" style="10" customWidth="1"/>
    <col min="7151" max="7151" width="7.7109375" style="10" bestFit="1" customWidth="1"/>
    <col min="7152" max="7152" width="7.28515625" style="10" customWidth="1"/>
    <col min="7153" max="7153" width="6.5703125" style="10" bestFit="1" customWidth="1"/>
    <col min="7154" max="7154" width="7.28515625" style="10" bestFit="1" customWidth="1"/>
    <col min="7155" max="7155" width="8.140625" style="10" customWidth="1"/>
    <col min="7156" max="7156" width="7.140625" style="10" customWidth="1"/>
    <col min="7157" max="7157" width="7.7109375" style="10" bestFit="1" customWidth="1"/>
    <col min="7158" max="7158" width="7.28515625" style="10" customWidth="1"/>
    <col min="7159" max="7159" width="7" style="10" customWidth="1"/>
    <col min="7160" max="7160" width="7.5703125" style="10" customWidth="1"/>
    <col min="7161" max="7161" width="7.140625" style="10" customWidth="1"/>
    <col min="7162" max="7162" width="7" style="10" customWidth="1"/>
    <col min="7163" max="7163" width="7.5703125" style="10" customWidth="1"/>
    <col min="7164" max="7164" width="7.140625" style="10" customWidth="1"/>
    <col min="7165" max="7181" width="8.7109375" style="10" customWidth="1"/>
    <col min="7182" max="7182" width="36.85546875" style="10" customWidth="1"/>
    <col min="7183" max="7189" width="14.28515625" style="10" customWidth="1"/>
    <col min="7190" max="7404" width="9.140625" style="10"/>
    <col min="7405" max="7405" width="38.5703125" style="10" customWidth="1"/>
    <col min="7406" max="7406" width="6.5703125" style="10" customWidth="1"/>
    <col min="7407" max="7407" width="7.7109375" style="10" bestFit="1" customWidth="1"/>
    <col min="7408" max="7408" width="7.28515625" style="10" customWidth="1"/>
    <col min="7409" max="7409" width="6.5703125" style="10" bestFit="1" customWidth="1"/>
    <col min="7410" max="7410" width="7.28515625" style="10" bestFit="1" customWidth="1"/>
    <col min="7411" max="7411" width="8.140625" style="10" customWidth="1"/>
    <col min="7412" max="7412" width="7.140625" style="10" customWidth="1"/>
    <col min="7413" max="7413" width="7.7109375" style="10" bestFit="1" customWidth="1"/>
    <col min="7414" max="7414" width="7.28515625" style="10" customWidth="1"/>
    <col min="7415" max="7415" width="7" style="10" customWidth="1"/>
    <col min="7416" max="7416" width="7.5703125" style="10" customWidth="1"/>
    <col min="7417" max="7417" width="7.140625" style="10" customWidth="1"/>
    <col min="7418" max="7418" width="7" style="10" customWidth="1"/>
    <col min="7419" max="7419" width="7.5703125" style="10" customWidth="1"/>
    <col min="7420" max="7420" width="7.140625" style="10" customWidth="1"/>
    <col min="7421" max="7437" width="8.7109375" style="10" customWidth="1"/>
    <col min="7438" max="7438" width="36.85546875" style="10" customWidth="1"/>
    <col min="7439" max="7445" width="14.28515625" style="10" customWidth="1"/>
    <col min="7446" max="7660" width="9.140625" style="10"/>
    <col min="7661" max="7661" width="38.5703125" style="10" customWidth="1"/>
    <col min="7662" max="7662" width="6.5703125" style="10" customWidth="1"/>
    <col min="7663" max="7663" width="7.7109375" style="10" bestFit="1" customWidth="1"/>
    <col min="7664" max="7664" width="7.28515625" style="10" customWidth="1"/>
    <col min="7665" max="7665" width="6.5703125" style="10" bestFit="1" customWidth="1"/>
    <col min="7666" max="7666" width="7.28515625" style="10" bestFit="1" customWidth="1"/>
    <col min="7667" max="7667" width="8.140625" style="10" customWidth="1"/>
    <col min="7668" max="7668" width="7.140625" style="10" customWidth="1"/>
    <col min="7669" max="7669" width="7.7109375" style="10" bestFit="1" customWidth="1"/>
    <col min="7670" max="7670" width="7.28515625" style="10" customWidth="1"/>
    <col min="7671" max="7671" width="7" style="10" customWidth="1"/>
    <col min="7672" max="7672" width="7.5703125" style="10" customWidth="1"/>
    <col min="7673" max="7673" width="7.140625" style="10" customWidth="1"/>
    <col min="7674" max="7674" width="7" style="10" customWidth="1"/>
    <col min="7675" max="7675" width="7.5703125" style="10" customWidth="1"/>
    <col min="7676" max="7676" width="7.140625" style="10" customWidth="1"/>
    <col min="7677" max="7693" width="8.7109375" style="10" customWidth="1"/>
    <col min="7694" max="7694" width="36.85546875" style="10" customWidth="1"/>
    <col min="7695" max="7701" width="14.28515625" style="10" customWidth="1"/>
    <col min="7702" max="7916" width="9.140625" style="10"/>
    <col min="7917" max="7917" width="38.5703125" style="10" customWidth="1"/>
    <col min="7918" max="7918" width="6.5703125" style="10" customWidth="1"/>
    <col min="7919" max="7919" width="7.7109375" style="10" bestFit="1" customWidth="1"/>
    <col min="7920" max="7920" width="7.28515625" style="10" customWidth="1"/>
    <col min="7921" max="7921" width="6.5703125" style="10" bestFit="1" customWidth="1"/>
    <col min="7922" max="7922" width="7.28515625" style="10" bestFit="1" customWidth="1"/>
    <col min="7923" max="7923" width="8.140625" style="10" customWidth="1"/>
    <col min="7924" max="7924" width="7.140625" style="10" customWidth="1"/>
    <col min="7925" max="7925" width="7.7109375" style="10" bestFit="1" customWidth="1"/>
    <col min="7926" max="7926" width="7.28515625" style="10" customWidth="1"/>
    <col min="7927" max="7927" width="7" style="10" customWidth="1"/>
    <col min="7928" max="7928" width="7.5703125" style="10" customWidth="1"/>
    <col min="7929" max="7929" width="7.140625" style="10" customWidth="1"/>
    <col min="7930" max="7930" width="7" style="10" customWidth="1"/>
    <col min="7931" max="7931" width="7.5703125" style="10" customWidth="1"/>
    <col min="7932" max="7932" width="7.140625" style="10" customWidth="1"/>
    <col min="7933" max="7949" width="8.7109375" style="10" customWidth="1"/>
    <col min="7950" max="7950" width="36.85546875" style="10" customWidth="1"/>
    <col min="7951" max="7957" width="14.28515625" style="10" customWidth="1"/>
    <col min="7958" max="8172" width="9.140625" style="10"/>
    <col min="8173" max="8173" width="38.5703125" style="10" customWidth="1"/>
    <col min="8174" max="8174" width="6.5703125" style="10" customWidth="1"/>
    <col min="8175" max="8175" width="7.7109375" style="10" bestFit="1" customWidth="1"/>
    <col min="8176" max="8176" width="7.28515625" style="10" customWidth="1"/>
    <col min="8177" max="8177" width="6.5703125" style="10" bestFit="1" customWidth="1"/>
    <col min="8178" max="8178" width="7.28515625" style="10" bestFit="1" customWidth="1"/>
    <col min="8179" max="8179" width="8.140625" style="10" customWidth="1"/>
    <col min="8180" max="8180" width="7.140625" style="10" customWidth="1"/>
    <col min="8181" max="8181" width="7.7109375" style="10" bestFit="1" customWidth="1"/>
    <col min="8182" max="8182" width="7.28515625" style="10" customWidth="1"/>
    <col min="8183" max="8183" width="7" style="10" customWidth="1"/>
    <col min="8184" max="8184" width="7.5703125" style="10" customWidth="1"/>
    <col min="8185" max="8185" width="7.140625" style="10" customWidth="1"/>
    <col min="8186" max="8186" width="7" style="10" customWidth="1"/>
    <col min="8187" max="8187" width="7.5703125" style="10" customWidth="1"/>
    <col min="8188" max="8188" width="7.140625" style="10" customWidth="1"/>
    <col min="8189" max="8205" width="8.7109375" style="10" customWidth="1"/>
    <col min="8206" max="8206" width="36.85546875" style="10" customWidth="1"/>
    <col min="8207" max="8213" width="14.28515625" style="10" customWidth="1"/>
    <col min="8214" max="8428" width="9.140625" style="10"/>
    <col min="8429" max="8429" width="38.5703125" style="10" customWidth="1"/>
    <col min="8430" max="8430" width="6.5703125" style="10" customWidth="1"/>
    <col min="8431" max="8431" width="7.7109375" style="10" bestFit="1" customWidth="1"/>
    <col min="8432" max="8432" width="7.28515625" style="10" customWidth="1"/>
    <col min="8433" max="8433" width="6.5703125" style="10" bestFit="1" customWidth="1"/>
    <col min="8434" max="8434" width="7.28515625" style="10" bestFit="1" customWidth="1"/>
    <col min="8435" max="8435" width="8.140625" style="10" customWidth="1"/>
    <col min="8436" max="8436" width="7.140625" style="10" customWidth="1"/>
    <col min="8437" max="8437" width="7.7109375" style="10" bestFit="1" customWidth="1"/>
    <col min="8438" max="8438" width="7.28515625" style="10" customWidth="1"/>
    <col min="8439" max="8439" width="7" style="10" customWidth="1"/>
    <col min="8440" max="8440" width="7.5703125" style="10" customWidth="1"/>
    <col min="8441" max="8441" width="7.140625" style="10" customWidth="1"/>
    <col min="8442" max="8442" width="7" style="10" customWidth="1"/>
    <col min="8443" max="8443" width="7.5703125" style="10" customWidth="1"/>
    <col min="8444" max="8444" width="7.140625" style="10" customWidth="1"/>
    <col min="8445" max="8461" width="8.7109375" style="10" customWidth="1"/>
    <col min="8462" max="8462" width="36.85546875" style="10" customWidth="1"/>
    <col min="8463" max="8469" width="14.28515625" style="10" customWidth="1"/>
    <col min="8470" max="8684" width="9.140625" style="10"/>
    <col min="8685" max="8685" width="38.5703125" style="10" customWidth="1"/>
    <col min="8686" max="8686" width="6.5703125" style="10" customWidth="1"/>
    <col min="8687" max="8687" width="7.7109375" style="10" bestFit="1" customWidth="1"/>
    <col min="8688" max="8688" width="7.28515625" style="10" customWidth="1"/>
    <col min="8689" max="8689" width="6.5703125" style="10" bestFit="1" customWidth="1"/>
    <col min="8690" max="8690" width="7.28515625" style="10" bestFit="1" customWidth="1"/>
    <col min="8691" max="8691" width="8.140625" style="10" customWidth="1"/>
    <col min="8692" max="8692" width="7.140625" style="10" customWidth="1"/>
    <col min="8693" max="8693" width="7.7109375" style="10" bestFit="1" customWidth="1"/>
    <col min="8694" max="8694" width="7.28515625" style="10" customWidth="1"/>
    <col min="8695" max="8695" width="7" style="10" customWidth="1"/>
    <col min="8696" max="8696" width="7.5703125" style="10" customWidth="1"/>
    <col min="8697" max="8697" width="7.140625" style="10" customWidth="1"/>
    <col min="8698" max="8698" width="7" style="10" customWidth="1"/>
    <col min="8699" max="8699" width="7.5703125" style="10" customWidth="1"/>
    <col min="8700" max="8700" width="7.140625" style="10" customWidth="1"/>
    <col min="8701" max="8717" width="8.7109375" style="10" customWidth="1"/>
    <col min="8718" max="8718" width="36.85546875" style="10" customWidth="1"/>
    <col min="8719" max="8725" width="14.28515625" style="10" customWidth="1"/>
    <col min="8726" max="8940" width="9.140625" style="10"/>
    <col min="8941" max="8941" width="38.5703125" style="10" customWidth="1"/>
    <col min="8942" max="8942" width="6.5703125" style="10" customWidth="1"/>
    <col min="8943" max="8943" width="7.7109375" style="10" bestFit="1" customWidth="1"/>
    <col min="8944" max="8944" width="7.28515625" style="10" customWidth="1"/>
    <col min="8945" max="8945" width="6.5703125" style="10" bestFit="1" customWidth="1"/>
    <col min="8946" max="8946" width="7.28515625" style="10" bestFit="1" customWidth="1"/>
    <col min="8947" max="8947" width="8.140625" style="10" customWidth="1"/>
    <col min="8948" max="8948" width="7.140625" style="10" customWidth="1"/>
    <col min="8949" max="8949" width="7.7109375" style="10" bestFit="1" customWidth="1"/>
    <col min="8950" max="8950" width="7.28515625" style="10" customWidth="1"/>
    <col min="8951" max="8951" width="7" style="10" customWidth="1"/>
    <col min="8952" max="8952" width="7.5703125" style="10" customWidth="1"/>
    <col min="8953" max="8953" width="7.140625" style="10" customWidth="1"/>
    <col min="8954" max="8954" width="7" style="10" customWidth="1"/>
    <col min="8955" max="8955" width="7.5703125" style="10" customWidth="1"/>
    <col min="8956" max="8956" width="7.140625" style="10" customWidth="1"/>
    <col min="8957" max="8973" width="8.7109375" style="10" customWidth="1"/>
    <col min="8974" max="8974" width="36.85546875" style="10" customWidth="1"/>
    <col min="8975" max="8981" width="14.28515625" style="10" customWidth="1"/>
    <col min="8982" max="9196" width="9.140625" style="10"/>
    <col min="9197" max="9197" width="38.5703125" style="10" customWidth="1"/>
    <col min="9198" max="9198" width="6.5703125" style="10" customWidth="1"/>
    <col min="9199" max="9199" width="7.7109375" style="10" bestFit="1" customWidth="1"/>
    <col min="9200" max="9200" width="7.28515625" style="10" customWidth="1"/>
    <col min="9201" max="9201" width="6.5703125" style="10" bestFit="1" customWidth="1"/>
    <col min="9202" max="9202" width="7.28515625" style="10" bestFit="1" customWidth="1"/>
    <col min="9203" max="9203" width="8.140625" style="10" customWidth="1"/>
    <col min="9204" max="9204" width="7.140625" style="10" customWidth="1"/>
    <col min="9205" max="9205" width="7.7109375" style="10" bestFit="1" customWidth="1"/>
    <col min="9206" max="9206" width="7.28515625" style="10" customWidth="1"/>
    <col min="9207" max="9207" width="7" style="10" customWidth="1"/>
    <col min="9208" max="9208" width="7.5703125" style="10" customWidth="1"/>
    <col min="9209" max="9209" width="7.140625" style="10" customWidth="1"/>
    <col min="9210" max="9210" width="7" style="10" customWidth="1"/>
    <col min="9211" max="9211" width="7.5703125" style="10" customWidth="1"/>
    <col min="9212" max="9212" width="7.140625" style="10" customWidth="1"/>
    <col min="9213" max="9229" width="8.7109375" style="10" customWidth="1"/>
    <col min="9230" max="9230" width="36.85546875" style="10" customWidth="1"/>
    <col min="9231" max="9237" width="14.28515625" style="10" customWidth="1"/>
    <col min="9238" max="9452" width="9.140625" style="10"/>
    <col min="9453" max="9453" width="38.5703125" style="10" customWidth="1"/>
    <col min="9454" max="9454" width="6.5703125" style="10" customWidth="1"/>
    <col min="9455" max="9455" width="7.7109375" style="10" bestFit="1" customWidth="1"/>
    <col min="9456" max="9456" width="7.28515625" style="10" customWidth="1"/>
    <col min="9457" max="9457" width="6.5703125" style="10" bestFit="1" customWidth="1"/>
    <col min="9458" max="9458" width="7.28515625" style="10" bestFit="1" customWidth="1"/>
    <col min="9459" max="9459" width="8.140625" style="10" customWidth="1"/>
    <col min="9460" max="9460" width="7.140625" style="10" customWidth="1"/>
    <col min="9461" max="9461" width="7.7109375" style="10" bestFit="1" customWidth="1"/>
    <col min="9462" max="9462" width="7.28515625" style="10" customWidth="1"/>
    <col min="9463" max="9463" width="7" style="10" customWidth="1"/>
    <col min="9464" max="9464" width="7.5703125" style="10" customWidth="1"/>
    <col min="9465" max="9465" width="7.140625" style="10" customWidth="1"/>
    <col min="9466" max="9466" width="7" style="10" customWidth="1"/>
    <col min="9467" max="9467" width="7.5703125" style="10" customWidth="1"/>
    <col min="9468" max="9468" width="7.140625" style="10" customWidth="1"/>
    <col min="9469" max="9485" width="8.7109375" style="10" customWidth="1"/>
    <col min="9486" max="9486" width="36.85546875" style="10" customWidth="1"/>
    <col min="9487" max="9493" width="14.28515625" style="10" customWidth="1"/>
    <col min="9494" max="9708" width="9.140625" style="10"/>
    <col min="9709" max="9709" width="38.5703125" style="10" customWidth="1"/>
    <col min="9710" max="9710" width="6.5703125" style="10" customWidth="1"/>
    <col min="9711" max="9711" width="7.7109375" style="10" bestFit="1" customWidth="1"/>
    <col min="9712" max="9712" width="7.28515625" style="10" customWidth="1"/>
    <col min="9713" max="9713" width="6.5703125" style="10" bestFit="1" customWidth="1"/>
    <col min="9714" max="9714" width="7.28515625" style="10" bestFit="1" customWidth="1"/>
    <col min="9715" max="9715" width="8.140625" style="10" customWidth="1"/>
    <col min="9716" max="9716" width="7.140625" style="10" customWidth="1"/>
    <col min="9717" max="9717" width="7.7109375" style="10" bestFit="1" customWidth="1"/>
    <col min="9718" max="9718" width="7.28515625" style="10" customWidth="1"/>
    <col min="9719" max="9719" width="7" style="10" customWidth="1"/>
    <col min="9720" max="9720" width="7.5703125" style="10" customWidth="1"/>
    <col min="9721" max="9721" width="7.140625" style="10" customWidth="1"/>
    <col min="9722" max="9722" width="7" style="10" customWidth="1"/>
    <col min="9723" max="9723" width="7.5703125" style="10" customWidth="1"/>
    <col min="9724" max="9724" width="7.140625" style="10" customWidth="1"/>
    <col min="9725" max="9741" width="8.7109375" style="10" customWidth="1"/>
    <col min="9742" max="9742" width="36.85546875" style="10" customWidth="1"/>
    <col min="9743" max="9749" width="14.28515625" style="10" customWidth="1"/>
    <col min="9750" max="9964" width="9.140625" style="10"/>
    <col min="9965" max="9965" width="38.5703125" style="10" customWidth="1"/>
    <col min="9966" max="9966" width="6.5703125" style="10" customWidth="1"/>
    <col min="9967" max="9967" width="7.7109375" style="10" bestFit="1" customWidth="1"/>
    <col min="9968" max="9968" width="7.28515625" style="10" customWidth="1"/>
    <col min="9969" max="9969" width="6.5703125" style="10" bestFit="1" customWidth="1"/>
    <col min="9970" max="9970" width="7.28515625" style="10" bestFit="1" customWidth="1"/>
    <col min="9971" max="9971" width="8.140625" style="10" customWidth="1"/>
    <col min="9972" max="9972" width="7.140625" style="10" customWidth="1"/>
    <col min="9973" max="9973" width="7.7109375" style="10" bestFit="1" customWidth="1"/>
    <col min="9974" max="9974" width="7.28515625" style="10" customWidth="1"/>
    <col min="9975" max="9975" width="7" style="10" customWidth="1"/>
    <col min="9976" max="9976" width="7.5703125" style="10" customWidth="1"/>
    <col min="9977" max="9977" width="7.140625" style="10" customWidth="1"/>
    <col min="9978" max="9978" width="7" style="10" customWidth="1"/>
    <col min="9979" max="9979" width="7.5703125" style="10" customWidth="1"/>
    <col min="9980" max="9980" width="7.140625" style="10" customWidth="1"/>
    <col min="9981" max="9997" width="8.7109375" style="10" customWidth="1"/>
    <col min="9998" max="9998" width="36.85546875" style="10" customWidth="1"/>
    <col min="9999" max="10005" width="14.28515625" style="10" customWidth="1"/>
    <col min="10006" max="10220" width="9.140625" style="10"/>
    <col min="10221" max="10221" width="38.5703125" style="10" customWidth="1"/>
    <col min="10222" max="10222" width="6.5703125" style="10" customWidth="1"/>
    <col min="10223" max="10223" width="7.7109375" style="10" bestFit="1" customWidth="1"/>
    <col min="10224" max="10224" width="7.28515625" style="10" customWidth="1"/>
    <col min="10225" max="10225" width="6.5703125" style="10" bestFit="1" customWidth="1"/>
    <col min="10226" max="10226" width="7.28515625" style="10" bestFit="1" customWidth="1"/>
    <col min="10227" max="10227" width="8.140625" style="10" customWidth="1"/>
    <col min="10228" max="10228" width="7.140625" style="10" customWidth="1"/>
    <col min="10229" max="10229" width="7.7109375" style="10" bestFit="1" customWidth="1"/>
    <col min="10230" max="10230" width="7.28515625" style="10" customWidth="1"/>
    <col min="10231" max="10231" width="7" style="10" customWidth="1"/>
    <col min="10232" max="10232" width="7.5703125" style="10" customWidth="1"/>
    <col min="10233" max="10233" width="7.140625" style="10" customWidth="1"/>
    <col min="10234" max="10234" width="7" style="10" customWidth="1"/>
    <col min="10235" max="10235" width="7.5703125" style="10" customWidth="1"/>
    <col min="10236" max="10236" width="7.140625" style="10" customWidth="1"/>
    <col min="10237" max="10253" width="8.7109375" style="10" customWidth="1"/>
    <col min="10254" max="10254" width="36.85546875" style="10" customWidth="1"/>
    <col min="10255" max="10261" width="14.28515625" style="10" customWidth="1"/>
    <col min="10262" max="10476" width="9.140625" style="10"/>
    <col min="10477" max="10477" width="38.5703125" style="10" customWidth="1"/>
    <col min="10478" max="10478" width="6.5703125" style="10" customWidth="1"/>
    <col min="10479" max="10479" width="7.7109375" style="10" bestFit="1" customWidth="1"/>
    <col min="10480" max="10480" width="7.28515625" style="10" customWidth="1"/>
    <col min="10481" max="10481" width="6.5703125" style="10" bestFit="1" customWidth="1"/>
    <col min="10482" max="10482" width="7.28515625" style="10" bestFit="1" customWidth="1"/>
    <col min="10483" max="10483" width="8.140625" style="10" customWidth="1"/>
    <col min="10484" max="10484" width="7.140625" style="10" customWidth="1"/>
    <col min="10485" max="10485" width="7.7109375" style="10" bestFit="1" customWidth="1"/>
    <col min="10486" max="10486" width="7.28515625" style="10" customWidth="1"/>
    <col min="10487" max="10487" width="7" style="10" customWidth="1"/>
    <col min="10488" max="10488" width="7.5703125" style="10" customWidth="1"/>
    <col min="10489" max="10489" width="7.140625" style="10" customWidth="1"/>
    <col min="10490" max="10490" width="7" style="10" customWidth="1"/>
    <col min="10491" max="10491" width="7.5703125" style="10" customWidth="1"/>
    <col min="10492" max="10492" width="7.140625" style="10" customWidth="1"/>
    <col min="10493" max="10509" width="8.7109375" style="10" customWidth="1"/>
    <col min="10510" max="10510" width="36.85546875" style="10" customWidth="1"/>
    <col min="10511" max="10517" width="14.28515625" style="10" customWidth="1"/>
    <col min="10518" max="10732" width="9.140625" style="10"/>
    <col min="10733" max="10733" width="38.5703125" style="10" customWidth="1"/>
    <col min="10734" max="10734" width="6.5703125" style="10" customWidth="1"/>
    <col min="10735" max="10735" width="7.7109375" style="10" bestFit="1" customWidth="1"/>
    <col min="10736" max="10736" width="7.28515625" style="10" customWidth="1"/>
    <col min="10737" max="10737" width="6.5703125" style="10" bestFit="1" customWidth="1"/>
    <col min="10738" max="10738" width="7.28515625" style="10" bestFit="1" customWidth="1"/>
    <col min="10739" max="10739" width="8.140625" style="10" customWidth="1"/>
    <col min="10740" max="10740" width="7.140625" style="10" customWidth="1"/>
    <col min="10741" max="10741" width="7.7109375" style="10" bestFit="1" customWidth="1"/>
    <col min="10742" max="10742" width="7.28515625" style="10" customWidth="1"/>
    <col min="10743" max="10743" width="7" style="10" customWidth="1"/>
    <col min="10744" max="10744" width="7.5703125" style="10" customWidth="1"/>
    <col min="10745" max="10745" width="7.140625" style="10" customWidth="1"/>
    <col min="10746" max="10746" width="7" style="10" customWidth="1"/>
    <col min="10747" max="10747" width="7.5703125" style="10" customWidth="1"/>
    <col min="10748" max="10748" width="7.140625" style="10" customWidth="1"/>
    <col min="10749" max="10765" width="8.7109375" style="10" customWidth="1"/>
    <col min="10766" max="10766" width="36.85546875" style="10" customWidth="1"/>
    <col min="10767" max="10773" width="14.28515625" style="10" customWidth="1"/>
    <col min="10774" max="10988" width="9.140625" style="10"/>
    <col min="10989" max="10989" width="38.5703125" style="10" customWidth="1"/>
    <col min="10990" max="10990" width="6.5703125" style="10" customWidth="1"/>
    <col min="10991" max="10991" width="7.7109375" style="10" bestFit="1" customWidth="1"/>
    <col min="10992" max="10992" width="7.28515625" style="10" customWidth="1"/>
    <col min="10993" max="10993" width="6.5703125" style="10" bestFit="1" customWidth="1"/>
    <col min="10994" max="10994" width="7.28515625" style="10" bestFit="1" customWidth="1"/>
    <col min="10995" max="10995" width="8.140625" style="10" customWidth="1"/>
    <col min="10996" max="10996" width="7.140625" style="10" customWidth="1"/>
    <col min="10997" max="10997" width="7.7109375" style="10" bestFit="1" customWidth="1"/>
    <col min="10998" max="10998" width="7.28515625" style="10" customWidth="1"/>
    <col min="10999" max="10999" width="7" style="10" customWidth="1"/>
    <col min="11000" max="11000" width="7.5703125" style="10" customWidth="1"/>
    <col min="11001" max="11001" width="7.140625" style="10" customWidth="1"/>
    <col min="11002" max="11002" width="7" style="10" customWidth="1"/>
    <col min="11003" max="11003" width="7.5703125" style="10" customWidth="1"/>
    <col min="11004" max="11004" width="7.140625" style="10" customWidth="1"/>
    <col min="11005" max="11021" width="8.7109375" style="10" customWidth="1"/>
    <col min="11022" max="11022" width="36.85546875" style="10" customWidth="1"/>
    <col min="11023" max="11029" width="14.28515625" style="10" customWidth="1"/>
    <col min="11030" max="11244" width="9.140625" style="10"/>
    <col min="11245" max="11245" width="38.5703125" style="10" customWidth="1"/>
    <col min="11246" max="11246" width="6.5703125" style="10" customWidth="1"/>
    <col min="11247" max="11247" width="7.7109375" style="10" bestFit="1" customWidth="1"/>
    <col min="11248" max="11248" width="7.28515625" style="10" customWidth="1"/>
    <col min="11249" max="11249" width="6.5703125" style="10" bestFit="1" customWidth="1"/>
    <col min="11250" max="11250" width="7.28515625" style="10" bestFit="1" customWidth="1"/>
    <col min="11251" max="11251" width="8.140625" style="10" customWidth="1"/>
    <col min="11252" max="11252" width="7.140625" style="10" customWidth="1"/>
    <col min="11253" max="11253" width="7.7109375" style="10" bestFit="1" customWidth="1"/>
    <col min="11254" max="11254" width="7.28515625" style="10" customWidth="1"/>
    <col min="11255" max="11255" width="7" style="10" customWidth="1"/>
    <col min="11256" max="11256" width="7.5703125" style="10" customWidth="1"/>
    <col min="11257" max="11257" width="7.140625" style="10" customWidth="1"/>
    <col min="11258" max="11258" width="7" style="10" customWidth="1"/>
    <col min="11259" max="11259" width="7.5703125" style="10" customWidth="1"/>
    <col min="11260" max="11260" width="7.140625" style="10" customWidth="1"/>
    <col min="11261" max="11277" width="8.7109375" style="10" customWidth="1"/>
    <col min="11278" max="11278" width="36.85546875" style="10" customWidth="1"/>
    <col min="11279" max="11285" width="14.28515625" style="10" customWidth="1"/>
    <col min="11286" max="11500" width="9.140625" style="10"/>
    <col min="11501" max="11501" width="38.5703125" style="10" customWidth="1"/>
    <col min="11502" max="11502" width="6.5703125" style="10" customWidth="1"/>
    <col min="11503" max="11503" width="7.7109375" style="10" bestFit="1" customWidth="1"/>
    <col min="11504" max="11504" width="7.28515625" style="10" customWidth="1"/>
    <col min="11505" max="11505" width="6.5703125" style="10" bestFit="1" customWidth="1"/>
    <col min="11506" max="11506" width="7.28515625" style="10" bestFit="1" customWidth="1"/>
    <col min="11507" max="11507" width="8.140625" style="10" customWidth="1"/>
    <col min="11508" max="11508" width="7.140625" style="10" customWidth="1"/>
    <col min="11509" max="11509" width="7.7109375" style="10" bestFit="1" customWidth="1"/>
    <col min="11510" max="11510" width="7.28515625" style="10" customWidth="1"/>
    <col min="11511" max="11511" width="7" style="10" customWidth="1"/>
    <col min="11512" max="11512" width="7.5703125" style="10" customWidth="1"/>
    <col min="11513" max="11513" width="7.140625" style="10" customWidth="1"/>
    <col min="11514" max="11514" width="7" style="10" customWidth="1"/>
    <col min="11515" max="11515" width="7.5703125" style="10" customWidth="1"/>
    <col min="11516" max="11516" width="7.140625" style="10" customWidth="1"/>
    <col min="11517" max="11533" width="8.7109375" style="10" customWidth="1"/>
    <col min="11534" max="11534" width="36.85546875" style="10" customWidth="1"/>
    <col min="11535" max="11541" width="14.28515625" style="10" customWidth="1"/>
    <col min="11542" max="11756" width="9.140625" style="10"/>
    <col min="11757" max="11757" width="38.5703125" style="10" customWidth="1"/>
    <col min="11758" max="11758" width="6.5703125" style="10" customWidth="1"/>
    <col min="11759" max="11759" width="7.7109375" style="10" bestFit="1" customWidth="1"/>
    <col min="11760" max="11760" width="7.28515625" style="10" customWidth="1"/>
    <col min="11761" max="11761" width="6.5703125" style="10" bestFit="1" customWidth="1"/>
    <col min="11762" max="11762" width="7.28515625" style="10" bestFit="1" customWidth="1"/>
    <col min="11763" max="11763" width="8.140625" style="10" customWidth="1"/>
    <col min="11764" max="11764" width="7.140625" style="10" customWidth="1"/>
    <col min="11765" max="11765" width="7.7109375" style="10" bestFit="1" customWidth="1"/>
    <col min="11766" max="11766" width="7.28515625" style="10" customWidth="1"/>
    <col min="11767" max="11767" width="7" style="10" customWidth="1"/>
    <col min="11768" max="11768" width="7.5703125" style="10" customWidth="1"/>
    <col min="11769" max="11769" width="7.140625" style="10" customWidth="1"/>
    <col min="11770" max="11770" width="7" style="10" customWidth="1"/>
    <col min="11771" max="11771" width="7.5703125" style="10" customWidth="1"/>
    <col min="11772" max="11772" width="7.140625" style="10" customWidth="1"/>
    <col min="11773" max="11789" width="8.7109375" style="10" customWidth="1"/>
    <col min="11790" max="11790" width="36.85546875" style="10" customWidth="1"/>
    <col min="11791" max="11797" width="14.28515625" style="10" customWidth="1"/>
    <col min="11798" max="12012" width="9.140625" style="10"/>
    <col min="12013" max="12013" width="38.5703125" style="10" customWidth="1"/>
    <col min="12014" max="12014" width="6.5703125" style="10" customWidth="1"/>
    <col min="12015" max="12015" width="7.7109375" style="10" bestFit="1" customWidth="1"/>
    <col min="12016" max="12016" width="7.28515625" style="10" customWidth="1"/>
    <col min="12017" max="12017" width="6.5703125" style="10" bestFit="1" customWidth="1"/>
    <col min="12018" max="12018" width="7.28515625" style="10" bestFit="1" customWidth="1"/>
    <col min="12019" max="12019" width="8.140625" style="10" customWidth="1"/>
    <col min="12020" max="12020" width="7.140625" style="10" customWidth="1"/>
    <col min="12021" max="12021" width="7.7109375" style="10" bestFit="1" customWidth="1"/>
    <col min="12022" max="12022" width="7.28515625" style="10" customWidth="1"/>
    <col min="12023" max="12023" width="7" style="10" customWidth="1"/>
    <col min="12024" max="12024" width="7.5703125" style="10" customWidth="1"/>
    <col min="12025" max="12025" width="7.140625" style="10" customWidth="1"/>
    <col min="12026" max="12026" width="7" style="10" customWidth="1"/>
    <col min="12027" max="12027" width="7.5703125" style="10" customWidth="1"/>
    <col min="12028" max="12028" width="7.140625" style="10" customWidth="1"/>
    <col min="12029" max="12045" width="8.7109375" style="10" customWidth="1"/>
    <col min="12046" max="12046" width="36.85546875" style="10" customWidth="1"/>
    <col min="12047" max="12053" width="14.28515625" style="10" customWidth="1"/>
    <col min="12054" max="12268" width="9.140625" style="10"/>
    <col min="12269" max="12269" width="38.5703125" style="10" customWidth="1"/>
    <col min="12270" max="12270" width="6.5703125" style="10" customWidth="1"/>
    <col min="12271" max="12271" width="7.7109375" style="10" bestFit="1" customWidth="1"/>
    <col min="12272" max="12272" width="7.28515625" style="10" customWidth="1"/>
    <col min="12273" max="12273" width="6.5703125" style="10" bestFit="1" customWidth="1"/>
    <col min="12274" max="12274" width="7.28515625" style="10" bestFit="1" customWidth="1"/>
    <col min="12275" max="12275" width="8.140625" style="10" customWidth="1"/>
    <col min="12276" max="12276" width="7.140625" style="10" customWidth="1"/>
    <col min="12277" max="12277" width="7.7109375" style="10" bestFit="1" customWidth="1"/>
    <col min="12278" max="12278" width="7.28515625" style="10" customWidth="1"/>
    <col min="12279" max="12279" width="7" style="10" customWidth="1"/>
    <col min="12280" max="12280" width="7.5703125" style="10" customWidth="1"/>
    <col min="12281" max="12281" width="7.140625" style="10" customWidth="1"/>
    <col min="12282" max="12282" width="7" style="10" customWidth="1"/>
    <col min="12283" max="12283" width="7.5703125" style="10" customWidth="1"/>
    <col min="12284" max="12284" width="7.140625" style="10" customWidth="1"/>
    <col min="12285" max="12301" width="8.7109375" style="10" customWidth="1"/>
    <col min="12302" max="12302" width="36.85546875" style="10" customWidth="1"/>
    <col min="12303" max="12309" width="14.28515625" style="10" customWidth="1"/>
    <col min="12310" max="12524" width="9.140625" style="10"/>
    <col min="12525" max="12525" width="38.5703125" style="10" customWidth="1"/>
    <col min="12526" max="12526" width="6.5703125" style="10" customWidth="1"/>
    <col min="12527" max="12527" width="7.7109375" style="10" bestFit="1" customWidth="1"/>
    <col min="12528" max="12528" width="7.28515625" style="10" customWidth="1"/>
    <col min="12529" max="12529" width="6.5703125" style="10" bestFit="1" customWidth="1"/>
    <col min="12530" max="12530" width="7.28515625" style="10" bestFit="1" customWidth="1"/>
    <col min="12531" max="12531" width="8.140625" style="10" customWidth="1"/>
    <col min="12532" max="12532" width="7.140625" style="10" customWidth="1"/>
    <col min="12533" max="12533" width="7.7109375" style="10" bestFit="1" customWidth="1"/>
    <col min="12534" max="12534" width="7.28515625" style="10" customWidth="1"/>
    <col min="12535" max="12535" width="7" style="10" customWidth="1"/>
    <col min="12536" max="12536" width="7.5703125" style="10" customWidth="1"/>
    <col min="12537" max="12537" width="7.140625" style="10" customWidth="1"/>
    <col min="12538" max="12538" width="7" style="10" customWidth="1"/>
    <col min="12539" max="12539" width="7.5703125" style="10" customWidth="1"/>
    <col min="12540" max="12540" width="7.140625" style="10" customWidth="1"/>
    <col min="12541" max="12557" width="8.7109375" style="10" customWidth="1"/>
    <col min="12558" max="12558" width="36.85546875" style="10" customWidth="1"/>
    <col min="12559" max="12565" width="14.28515625" style="10" customWidth="1"/>
    <col min="12566" max="12780" width="9.140625" style="10"/>
    <col min="12781" max="12781" width="38.5703125" style="10" customWidth="1"/>
    <col min="12782" max="12782" width="6.5703125" style="10" customWidth="1"/>
    <col min="12783" max="12783" width="7.7109375" style="10" bestFit="1" customWidth="1"/>
    <col min="12784" max="12784" width="7.28515625" style="10" customWidth="1"/>
    <col min="12785" max="12785" width="6.5703125" style="10" bestFit="1" customWidth="1"/>
    <col min="12786" max="12786" width="7.28515625" style="10" bestFit="1" customWidth="1"/>
    <col min="12787" max="12787" width="8.140625" style="10" customWidth="1"/>
    <col min="12788" max="12788" width="7.140625" style="10" customWidth="1"/>
    <col min="12789" max="12789" width="7.7109375" style="10" bestFit="1" customWidth="1"/>
    <col min="12790" max="12790" width="7.28515625" style="10" customWidth="1"/>
    <col min="12791" max="12791" width="7" style="10" customWidth="1"/>
    <col min="12792" max="12792" width="7.5703125" style="10" customWidth="1"/>
    <col min="12793" max="12793" width="7.140625" style="10" customWidth="1"/>
    <col min="12794" max="12794" width="7" style="10" customWidth="1"/>
    <col min="12795" max="12795" width="7.5703125" style="10" customWidth="1"/>
    <col min="12796" max="12796" width="7.140625" style="10" customWidth="1"/>
    <col min="12797" max="12813" width="8.7109375" style="10" customWidth="1"/>
    <col min="12814" max="12814" width="36.85546875" style="10" customWidth="1"/>
    <col min="12815" max="12821" width="14.28515625" style="10" customWidth="1"/>
    <col min="12822" max="13036" width="9.140625" style="10"/>
    <col min="13037" max="13037" width="38.5703125" style="10" customWidth="1"/>
    <col min="13038" max="13038" width="6.5703125" style="10" customWidth="1"/>
    <col min="13039" max="13039" width="7.7109375" style="10" bestFit="1" customWidth="1"/>
    <col min="13040" max="13040" width="7.28515625" style="10" customWidth="1"/>
    <col min="13041" max="13041" width="6.5703125" style="10" bestFit="1" customWidth="1"/>
    <col min="13042" max="13042" width="7.28515625" style="10" bestFit="1" customWidth="1"/>
    <col min="13043" max="13043" width="8.140625" style="10" customWidth="1"/>
    <col min="13044" max="13044" width="7.140625" style="10" customWidth="1"/>
    <col min="13045" max="13045" width="7.7109375" style="10" bestFit="1" customWidth="1"/>
    <col min="13046" max="13046" width="7.28515625" style="10" customWidth="1"/>
    <col min="13047" max="13047" width="7" style="10" customWidth="1"/>
    <col min="13048" max="13048" width="7.5703125" style="10" customWidth="1"/>
    <col min="13049" max="13049" width="7.140625" style="10" customWidth="1"/>
    <col min="13050" max="13050" width="7" style="10" customWidth="1"/>
    <col min="13051" max="13051" width="7.5703125" style="10" customWidth="1"/>
    <col min="13052" max="13052" width="7.140625" style="10" customWidth="1"/>
    <col min="13053" max="13069" width="8.7109375" style="10" customWidth="1"/>
    <col min="13070" max="13070" width="36.85546875" style="10" customWidth="1"/>
    <col min="13071" max="13077" width="14.28515625" style="10" customWidth="1"/>
    <col min="13078" max="13292" width="9.140625" style="10"/>
    <col min="13293" max="13293" width="38.5703125" style="10" customWidth="1"/>
    <col min="13294" max="13294" width="6.5703125" style="10" customWidth="1"/>
    <col min="13295" max="13295" width="7.7109375" style="10" bestFit="1" customWidth="1"/>
    <col min="13296" max="13296" width="7.28515625" style="10" customWidth="1"/>
    <col min="13297" max="13297" width="6.5703125" style="10" bestFit="1" customWidth="1"/>
    <col min="13298" max="13298" width="7.28515625" style="10" bestFit="1" customWidth="1"/>
    <col min="13299" max="13299" width="8.140625" style="10" customWidth="1"/>
    <col min="13300" max="13300" width="7.140625" style="10" customWidth="1"/>
    <col min="13301" max="13301" width="7.7109375" style="10" bestFit="1" customWidth="1"/>
    <col min="13302" max="13302" width="7.28515625" style="10" customWidth="1"/>
    <col min="13303" max="13303" width="7" style="10" customWidth="1"/>
    <col min="13304" max="13304" width="7.5703125" style="10" customWidth="1"/>
    <col min="13305" max="13305" width="7.140625" style="10" customWidth="1"/>
    <col min="13306" max="13306" width="7" style="10" customWidth="1"/>
    <col min="13307" max="13307" width="7.5703125" style="10" customWidth="1"/>
    <col min="13308" max="13308" width="7.140625" style="10" customWidth="1"/>
    <col min="13309" max="13325" width="8.7109375" style="10" customWidth="1"/>
    <col min="13326" max="13326" width="36.85546875" style="10" customWidth="1"/>
    <col min="13327" max="13333" width="14.28515625" style="10" customWidth="1"/>
    <col min="13334" max="13548" width="9.140625" style="10"/>
    <col min="13549" max="13549" width="38.5703125" style="10" customWidth="1"/>
    <col min="13550" max="13550" width="6.5703125" style="10" customWidth="1"/>
    <col min="13551" max="13551" width="7.7109375" style="10" bestFit="1" customWidth="1"/>
    <col min="13552" max="13552" width="7.28515625" style="10" customWidth="1"/>
    <col min="13553" max="13553" width="6.5703125" style="10" bestFit="1" customWidth="1"/>
    <col min="13554" max="13554" width="7.28515625" style="10" bestFit="1" customWidth="1"/>
    <col min="13555" max="13555" width="8.140625" style="10" customWidth="1"/>
    <col min="13556" max="13556" width="7.140625" style="10" customWidth="1"/>
    <col min="13557" max="13557" width="7.7109375" style="10" bestFit="1" customWidth="1"/>
    <col min="13558" max="13558" width="7.28515625" style="10" customWidth="1"/>
    <col min="13559" max="13559" width="7" style="10" customWidth="1"/>
    <col min="13560" max="13560" width="7.5703125" style="10" customWidth="1"/>
    <col min="13561" max="13561" width="7.140625" style="10" customWidth="1"/>
    <col min="13562" max="13562" width="7" style="10" customWidth="1"/>
    <col min="13563" max="13563" width="7.5703125" style="10" customWidth="1"/>
    <col min="13564" max="13564" width="7.140625" style="10" customWidth="1"/>
    <col min="13565" max="13581" width="8.7109375" style="10" customWidth="1"/>
    <col min="13582" max="13582" width="36.85546875" style="10" customWidth="1"/>
    <col min="13583" max="13589" width="14.28515625" style="10" customWidth="1"/>
    <col min="13590" max="13804" width="9.140625" style="10"/>
    <col min="13805" max="13805" width="38.5703125" style="10" customWidth="1"/>
    <col min="13806" max="13806" width="6.5703125" style="10" customWidth="1"/>
    <col min="13807" max="13807" width="7.7109375" style="10" bestFit="1" customWidth="1"/>
    <col min="13808" max="13808" width="7.28515625" style="10" customWidth="1"/>
    <col min="13809" max="13809" width="6.5703125" style="10" bestFit="1" customWidth="1"/>
    <col min="13810" max="13810" width="7.28515625" style="10" bestFit="1" customWidth="1"/>
    <col min="13811" max="13811" width="8.140625" style="10" customWidth="1"/>
    <col min="13812" max="13812" width="7.140625" style="10" customWidth="1"/>
    <col min="13813" max="13813" width="7.7109375" style="10" bestFit="1" customWidth="1"/>
    <col min="13814" max="13814" width="7.28515625" style="10" customWidth="1"/>
    <col min="13815" max="13815" width="7" style="10" customWidth="1"/>
    <col min="13816" max="13816" width="7.5703125" style="10" customWidth="1"/>
    <col min="13817" max="13817" width="7.140625" style="10" customWidth="1"/>
    <col min="13818" max="13818" width="7" style="10" customWidth="1"/>
    <col min="13819" max="13819" width="7.5703125" style="10" customWidth="1"/>
    <col min="13820" max="13820" width="7.140625" style="10" customWidth="1"/>
    <col min="13821" max="13837" width="8.7109375" style="10" customWidth="1"/>
    <col min="13838" max="13838" width="36.85546875" style="10" customWidth="1"/>
    <col min="13839" max="13845" width="14.28515625" style="10" customWidth="1"/>
    <col min="13846" max="14060" width="9.140625" style="10"/>
    <col min="14061" max="14061" width="38.5703125" style="10" customWidth="1"/>
    <col min="14062" max="14062" width="6.5703125" style="10" customWidth="1"/>
    <col min="14063" max="14063" width="7.7109375" style="10" bestFit="1" customWidth="1"/>
    <col min="14064" max="14064" width="7.28515625" style="10" customWidth="1"/>
    <col min="14065" max="14065" width="6.5703125" style="10" bestFit="1" customWidth="1"/>
    <col min="14066" max="14066" width="7.28515625" style="10" bestFit="1" customWidth="1"/>
    <col min="14067" max="14067" width="8.140625" style="10" customWidth="1"/>
    <col min="14068" max="14068" width="7.140625" style="10" customWidth="1"/>
    <col min="14069" max="14069" width="7.7109375" style="10" bestFit="1" customWidth="1"/>
    <col min="14070" max="14070" width="7.28515625" style="10" customWidth="1"/>
    <col min="14071" max="14071" width="7" style="10" customWidth="1"/>
    <col min="14072" max="14072" width="7.5703125" style="10" customWidth="1"/>
    <col min="14073" max="14073" width="7.140625" style="10" customWidth="1"/>
    <col min="14074" max="14074" width="7" style="10" customWidth="1"/>
    <col min="14075" max="14075" width="7.5703125" style="10" customWidth="1"/>
    <col min="14076" max="14076" width="7.140625" style="10" customWidth="1"/>
    <col min="14077" max="14093" width="8.7109375" style="10" customWidth="1"/>
    <col min="14094" max="14094" width="36.85546875" style="10" customWidth="1"/>
    <col min="14095" max="14101" width="14.28515625" style="10" customWidth="1"/>
    <col min="14102" max="14316" width="9.140625" style="10"/>
    <col min="14317" max="14317" width="38.5703125" style="10" customWidth="1"/>
    <col min="14318" max="14318" width="6.5703125" style="10" customWidth="1"/>
    <col min="14319" max="14319" width="7.7109375" style="10" bestFit="1" customWidth="1"/>
    <col min="14320" max="14320" width="7.28515625" style="10" customWidth="1"/>
    <col min="14321" max="14321" width="6.5703125" style="10" bestFit="1" customWidth="1"/>
    <col min="14322" max="14322" width="7.28515625" style="10" bestFit="1" customWidth="1"/>
    <col min="14323" max="14323" width="8.140625" style="10" customWidth="1"/>
    <col min="14324" max="14324" width="7.140625" style="10" customWidth="1"/>
    <col min="14325" max="14325" width="7.7109375" style="10" bestFit="1" customWidth="1"/>
    <col min="14326" max="14326" width="7.28515625" style="10" customWidth="1"/>
    <col min="14327" max="14327" width="7" style="10" customWidth="1"/>
    <col min="14328" max="14328" width="7.5703125" style="10" customWidth="1"/>
    <col min="14329" max="14329" width="7.140625" style="10" customWidth="1"/>
    <col min="14330" max="14330" width="7" style="10" customWidth="1"/>
    <col min="14331" max="14331" width="7.5703125" style="10" customWidth="1"/>
    <col min="14332" max="14332" width="7.140625" style="10" customWidth="1"/>
    <col min="14333" max="14349" width="8.7109375" style="10" customWidth="1"/>
    <col min="14350" max="14350" width="36.85546875" style="10" customWidth="1"/>
    <col min="14351" max="14357" width="14.28515625" style="10" customWidth="1"/>
    <col min="14358" max="14572" width="9.140625" style="10"/>
    <col min="14573" max="14573" width="38.5703125" style="10" customWidth="1"/>
    <col min="14574" max="14574" width="6.5703125" style="10" customWidth="1"/>
    <col min="14575" max="14575" width="7.7109375" style="10" bestFit="1" customWidth="1"/>
    <col min="14576" max="14576" width="7.28515625" style="10" customWidth="1"/>
    <col min="14577" max="14577" width="6.5703125" style="10" bestFit="1" customWidth="1"/>
    <col min="14578" max="14578" width="7.28515625" style="10" bestFit="1" customWidth="1"/>
    <col min="14579" max="14579" width="8.140625" style="10" customWidth="1"/>
    <col min="14580" max="14580" width="7.140625" style="10" customWidth="1"/>
    <col min="14581" max="14581" width="7.7109375" style="10" bestFit="1" customWidth="1"/>
    <col min="14582" max="14582" width="7.28515625" style="10" customWidth="1"/>
    <col min="14583" max="14583" width="7" style="10" customWidth="1"/>
    <col min="14584" max="14584" width="7.5703125" style="10" customWidth="1"/>
    <col min="14585" max="14585" width="7.140625" style="10" customWidth="1"/>
    <col min="14586" max="14586" width="7" style="10" customWidth="1"/>
    <col min="14587" max="14587" width="7.5703125" style="10" customWidth="1"/>
    <col min="14588" max="14588" width="7.140625" style="10" customWidth="1"/>
    <col min="14589" max="14605" width="8.7109375" style="10" customWidth="1"/>
    <col min="14606" max="14606" width="36.85546875" style="10" customWidth="1"/>
    <col min="14607" max="14613" width="14.28515625" style="10" customWidth="1"/>
    <col min="14614" max="14828" width="9.140625" style="10"/>
    <col min="14829" max="14829" width="38.5703125" style="10" customWidth="1"/>
    <col min="14830" max="14830" width="6.5703125" style="10" customWidth="1"/>
    <col min="14831" max="14831" width="7.7109375" style="10" bestFit="1" customWidth="1"/>
    <col min="14832" max="14832" width="7.28515625" style="10" customWidth="1"/>
    <col min="14833" max="14833" width="6.5703125" style="10" bestFit="1" customWidth="1"/>
    <col min="14834" max="14834" width="7.28515625" style="10" bestFit="1" customWidth="1"/>
    <col min="14835" max="14835" width="8.140625" style="10" customWidth="1"/>
    <col min="14836" max="14836" width="7.140625" style="10" customWidth="1"/>
    <col min="14837" max="14837" width="7.7109375" style="10" bestFit="1" customWidth="1"/>
    <col min="14838" max="14838" width="7.28515625" style="10" customWidth="1"/>
    <col min="14839" max="14839" width="7" style="10" customWidth="1"/>
    <col min="14840" max="14840" width="7.5703125" style="10" customWidth="1"/>
    <col min="14841" max="14841" width="7.140625" style="10" customWidth="1"/>
    <col min="14842" max="14842" width="7" style="10" customWidth="1"/>
    <col min="14843" max="14843" width="7.5703125" style="10" customWidth="1"/>
    <col min="14844" max="14844" width="7.140625" style="10" customWidth="1"/>
    <col min="14845" max="14861" width="8.7109375" style="10" customWidth="1"/>
    <col min="14862" max="14862" width="36.85546875" style="10" customWidth="1"/>
    <col min="14863" max="14869" width="14.28515625" style="10" customWidth="1"/>
    <col min="14870" max="15084" width="9.140625" style="10"/>
    <col min="15085" max="15085" width="38.5703125" style="10" customWidth="1"/>
    <col min="15086" max="15086" width="6.5703125" style="10" customWidth="1"/>
    <col min="15087" max="15087" width="7.7109375" style="10" bestFit="1" customWidth="1"/>
    <col min="15088" max="15088" width="7.28515625" style="10" customWidth="1"/>
    <col min="15089" max="15089" width="6.5703125" style="10" bestFit="1" customWidth="1"/>
    <col min="15090" max="15090" width="7.28515625" style="10" bestFit="1" customWidth="1"/>
    <col min="15091" max="15091" width="8.140625" style="10" customWidth="1"/>
    <col min="15092" max="15092" width="7.140625" style="10" customWidth="1"/>
    <col min="15093" max="15093" width="7.7109375" style="10" bestFit="1" customWidth="1"/>
    <col min="15094" max="15094" width="7.28515625" style="10" customWidth="1"/>
    <col min="15095" max="15095" width="7" style="10" customWidth="1"/>
    <col min="15096" max="15096" width="7.5703125" style="10" customWidth="1"/>
    <col min="15097" max="15097" width="7.140625" style="10" customWidth="1"/>
    <col min="15098" max="15098" width="7" style="10" customWidth="1"/>
    <col min="15099" max="15099" width="7.5703125" style="10" customWidth="1"/>
    <col min="15100" max="15100" width="7.140625" style="10" customWidth="1"/>
    <col min="15101" max="15117" width="8.7109375" style="10" customWidth="1"/>
    <col min="15118" max="15118" width="36.85546875" style="10" customWidth="1"/>
    <col min="15119" max="15125" width="14.28515625" style="10" customWidth="1"/>
    <col min="15126" max="15340" width="9.140625" style="10"/>
    <col min="15341" max="15341" width="38.5703125" style="10" customWidth="1"/>
    <col min="15342" max="15342" width="6.5703125" style="10" customWidth="1"/>
    <col min="15343" max="15343" width="7.7109375" style="10" bestFit="1" customWidth="1"/>
    <col min="15344" max="15344" width="7.28515625" style="10" customWidth="1"/>
    <col min="15345" max="15345" width="6.5703125" style="10" bestFit="1" customWidth="1"/>
    <col min="15346" max="15346" width="7.28515625" style="10" bestFit="1" customWidth="1"/>
    <col min="15347" max="15347" width="8.140625" style="10" customWidth="1"/>
    <col min="15348" max="15348" width="7.140625" style="10" customWidth="1"/>
    <col min="15349" max="15349" width="7.7109375" style="10" bestFit="1" customWidth="1"/>
    <col min="15350" max="15350" width="7.28515625" style="10" customWidth="1"/>
    <col min="15351" max="15351" width="7" style="10" customWidth="1"/>
    <col min="15352" max="15352" width="7.5703125" style="10" customWidth="1"/>
    <col min="15353" max="15353" width="7.140625" style="10" customWidth="1"/>
    <col min="15354" max="15354" width="7" style="10" customWidth="1"/>
    <col min="15355" max="15355" width="7.5703125" style="10" customWidth="1"/>
    <col min="15356" max="15356" width="7.140625" style="10" customWidth="1"/>
    <col min="15357" max="15373" width="8.7109375" style="10" customWidth="1"/>
    <col min="15374" max="15374" width="36.85546875" style="10" customWidth="1"/>
    <col min="15375" max="15381" width="14.28515625" style="10" customWidth="1"/>
    <col min="15382" max="15596" width="9.140625" style="10"/>
    <col min="15597" max="15597" width="38.5703125" style="10" customWidth="1"/>
    <col min="15598" max="15598" width="6.5703125" style="10" customWidth="1"/>
    <col min="15599" max="15599" width="7.7109375" style="10" bestFit="1" customWidth="1"/>
    <col min="15600" max="15600" width="7.28515625" style="10" customWidth="1"/>
    <col min="15601" max="15601" width="6.5703125" style="10" bestFit="1" customWidth="1"/>
    <col min="15602" max="15602" width="7.28515625" style="10" bestFit="1" customWidth="1"/>
    <col min="15603" max="15603" width="8.140625" style="10" customWidth="1"/>
    <col min="15604" max="15604" width="7.140625" style="10" customWidth="1"/>
    <col min="15605" max="15605" width="7.7109375" style="10" bestFit="1" customWidth="1"/>
    <col min="15606" max="15606" width="7.28515625" style="10" customWidth="1"/>
    <col min="15607" max="15607" width="7" style="10" customWidth="1"/>
    <col min="15608" max="15608" width="7.5703125" style="10" customWidth="1"/>
    <col min="15609" max="15609" width="7.140625" style="10" customWidth="1"/>
    <col min="15610" max="15610" width="7" style="10" customWidth="1"/>
    <col min="15611" max="15611" width="7.5703125" style="10" customWidth="1"/>
    <col min="15612" max="15612" width="7.140625" style="10" customWidth="1"/>
    <col min="15613" max="15629" width="8.7109375" style="10" customWidth="1"/>
    <col min="15630" max="15630" width="36.85546875" style="10" customWidth="1"/>
    <col min="15631" max="15637" width="14.28515625" style="10" customWidth="1"/>
    <col min="15638" max="15852" width="9.140625" style="10"/>
    <col min="15853" max="15853" width="38.5703125" style="10" customWidth="1"/>
    <col min="15854" max="15854" width="6.5703125" style="10" customWidth="1"/>
    <col min="15855" max="15855" width="7.7109375" style="10" bestFit="1" customWidth="1"/>
    <col min="15856" max="15856" width="7.28515625" style="10" customWidth="1"/>
    <col min="15857" max="15857" width="6.5703125" style="10" bestFit="1" customWidth="1"/>
    <col min="15858" max="15858" width="7.28515625" style="10" bestFit="1" customWidth="1"/>
    <col min="15859" max="15859" width="8.140625" style="10" customWidth="1"/>
    <col min="15860" max="15860" width="7.140625" style="10" customWidth="1"/>
    <col min="15861" max="15861" width="7.7109375" style="10" bestFit="1" customWidth="1"/>
    <col min="15862" max="15862" width="7.28515625" style="10" customWidth="1"/>
    <col min="15863" max="15863" width="7" style="10" customWidth="1"/>
    <col min="15864" max="15864" width="7.5703125" style="10" customWidth="1"/>
    <col min="15865" max="15865" width="7.140625" style="10" customWidth="1"/>
    <col min="15866" max="15866" width="7" style="10" customWidth="1"/>
    <col min="15867" max="15867" width="7.5703125" style="10" customWidth="1"/>
    <col min="15868" max="15868" width="7.140625" style="10" customWidth="1"/>
    <col min="15869" max="15885" width="8.7109375" style="10" customWidth="1"/>
    <col min="15886" max="15886" width="36.85546875" style="10" customWidth="1"/>
    <col min="15887" max="15893" width="14.28515625" style="10" customWidth="1"/>
    <col min="15894" max="16108" width="9.140625" style="10"/>
    <col min="16109" max="16109" width="38.5703125" style="10" customWidth="1"/>
    <col min="16110" max="16110" width="6.5703125" style="10" customWidth="1"/>
    <col min="16111" max="16111" width="7.7109375" style="10" bestFit="1" customWidth="1"/>
    <col min="16112" max="16112" width="7.28515625" style="10" customWidth="1"/>
    <col min="16113" max="16113" width="6.5703125" style="10" bestFit="1" customWidth="1"/>
    <col min="16114" max="16114" width="7.28515625" style="10" bestFit="1" customWidth="1"/>
    <col min="16115" max="16115" width="8.140625" style="10" customWidth="1"/>
    <col min="16116" max="16116" width="7.140625" style="10" customWidth="1"/>
    <col min="16117" max="16117" width="7.7109375" style="10" bestFit="1" customWidth="1"/>
    <col min="16118" max="16118" width="7.28515625" style="10" customWidth="1"/>
    <col min="16119" max="16119" width="7" style="10" customWidth="1"/>
    <col min="16120" max="16120" width="7.5703125" style="10" customWidth="1"/>
    <col min="16121" max="16121" width="7.140625" style="10" customWidth="1"/>
    <col min="16122" max="16122" width="7" style="10" customWidth="1"/>
    <col min="16123" max="16123" width="7.5703125" style="10" customWidth="1"/>
    <col min="16124" max="16124" width="7.140625" style="10" customWidth="1"/>
    <col min="16125" max="16141" width="8.7109375" style="10" customWidth="1"/>
    <col min="16142" max="16142" width="36.85546875" style="10" customWidth="1"/>
    <col min="16143" max="16149" width="14.28515625" style="10" customWidth="1"/>
    <col min="16150" max="16384" width="9.140625" style="10"/>
  </cols>
  <sheetData>
    <row r="1" spans="1:23" ht="15.75">
      <c r="L1" s="1462" t="s">
        <v>979</v>
      </c>
      <c r="M1" s="1463"/>
    </row>
    <row r="2" spans="1:23" ht="23.25">
      <c r="A2" s="1464" t="s">
        <v>902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</row>
    <row r="3" spans="1:23" ht="11.25" customHeight="1">
      <c r="B3" s="1407"/>
      <c r="C3" s="1407"/>
      <c r="D3" s="1407"/>
      <c r="E3" s="1407"/>
      <c r="F3" s="1407"/>
      <c r="G3" s="1407"/>
      <c r="H3" s="10"/>
      <c r="I3" s="10"/>
      <c r="J3" s="10"/>
      <c r="K3" s="10"/>
      <c r="L3" s="10"/>
      <c r="M3" s="10"/>
    </row>
    <row r="4" spans="1:23" s="188" customFormat="1" ht="21.75" customHeight="1">
      <c r="A4" s="706" t="s">
        <v>1358</v>
      </c>
      <c r="B4" s="706"/>
      <c r="C4" s="256"/>
      <c r="D4" s="256"/>
      <c r="E4" s="187"/>
      <c r="F4" s="187"/>
      <c r="G4" s="187"/>
      <c r="H4" s="187"/>
      <c r="I4" s="187"/>
      <c r="J4" s="187"/>
      <c r="K4" s="187"/>
      <c r="L4" s="187"/>
      <c r="M4" s="187"/>
    </row>
    <row r="5" spans="1:23" ht="14.25" customHeight="1">
      <c r="A5" s="257"/>
      <c r="B5" s="257"/>
      <c r="C5" s="228"/>
      <c r="D5" s="228"/>
      <c r="E5" s="20"/>
      <c r="F5" s="20"/>
      <c r="G5" s="20"/>
      <c r="H5" s="10"/>
      <c r="I5" s="10"/>
      <c r="J5" s="10"/>
      <c r="K5" s="1469" t="s">
        <v>1117</v>
      </c>
      <c r="L5" s="1469"/>
      <c r="M5" s="1469"/>
    </row>
    <row r="6" spans="1:23" s="258" customFormat="1" ht="23.25" customHeight="1">
      <c r="A6" s="1482" t="s">
        <v>903</v>
      </c>
      <c r="B6" s="1482"/>
      <c r="C6" s="1483" t="s">
        <v>911</v>
      </c>
      <c r="D6" s="1483" t="s">
        <v>896</v>
      </c>
      <c r="E6" s="1486" t="s">
        <v>948</v>
      </c>
      <c r="F6" s="1486"/>
      <c r="G6" s="1486"/>
      <c r="H6" s="1486"/>
      <c r="I6" s="1486"/>
      <c r="J6" s="1486"/>
      <c r="K6" s="1486"/>
      <c r="L6" s="1486"/>
      <c r="M6" s="1487"/>
    </row>
    <row r="7" spans="1:23" s="259" customFormat="1" ht="36" customHeight="1">
      <c r="A7" s="1482"/>
      <c r="B7" s="1482"/>
      <c r="C7" s="1484"/>
      <c r="D7" s="1484"/>
      <c r="E7" s="1488" t="s">
        <v>1112</v>
      </c>
      <c r="F7" s="1489"/>
      <c r="G7" s="1490"/>
      <c r="H7" s="1470" t="s">
        <v>1101</v>
      </c>
      <c r="I7" s="1471"/>
      <c r="J7" s="1472"/>
      <c r="K7" s="1473" t="s">
        <v>1095</v>
      </c>
      <c r="L7" s="1474"/>
      <c r="M7" s="1475"/>
    </row>
    <row r="8" spans="1:23" s="259" customFormat="1" ht="60" customHeight="1">
      <c r="A8" s="1482"/>
      <c r="B8" s="1482"/>
      <c r="C8" s="1485"/>
      <c r="D8" s="1485"/>
      <c r="E8" s="260" t="s">
        <v>882</v>
      </c>
      <c r="F8" s="261" t="s">
        <v>897</v>
      </c>
      <c r="G8" s="261" t="s">
        <v>898</v>
      </c>
      <c r="H8" s="260" t="s">
        <v>882</v>
      </c>
      <c r="I8" s="261" t="s">
        <v>897</v>
      </c>
      <c r="J8" s="261" t="s">
        <v>898</v>
      </c>
      <c r="K8" s="260" t="s">
        <v>882</v>
      </c>
      <c r="L8" s="261" t="s">
        <v>897</v>
      </c>
      <c r="M8" s="280" t="s">
        <v>898</v>
      </c>
    </row>
    <row r="9" spans="1:23" ht="21.95" customHeight="1">
      <c r="A9" s="1476" t="s">
        <v>899</v>
      </c>
      <c r="B9" s="1477"/>
      <c r="C9" s="1477"/>
      <c r="D9" s="1477"/>
      <c r="E9" s="1477"/>
      <c r="F9" s="1477"/>
      <c r="G9" s="1477"/>
      <c r="H9" s="1477"/>
      <c r="I9" s="1477"/>
      <c r="J9" s="1477"/>
      <c r="K9" s="1477"/>
      <c r="L9" s="1477"/>
      <c r="M9" s="1478"/>
    </row>
    <row r="10" spans="1:23" s="8" customFormat="1" ht="20.100000000000001" customHeight="1">
      <c r="A10" s="567"/>
      <c r="B10" s="1465" t="s">
        <v>1191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7"/>
      <c r="N10" s="278"/>
      <c r="O10" s="278"/>
      <c r="P10" s="278"/>
      <c r="Q10" s="278"/>
    </row>
    <row r="11" spans="1:23" s="8" customFormat="1" ht="20.100000000000001" customHeight="1">
      <c r="A11" s="568">
        <v>1</v>
      </c>
      <c r="B11" s="569" t="s">
        <v>1192</v>
      </c>
      <c r="C11" s="570" t="s">
        <v>913</v>
      </c>
      <c r="D11" s="571" t="s">
        <v>909</v>
      </c>
      <c r="E11" s="572">
        <f>27500/1000000</f>
        <v>2.75E-2</v>
      </c>
      <c r="F11" s="573"/>
      <c r="G11" s="574">
        <f t="shared" ref="G11:G57" si="0">E11+F11</f>
        <v>2.75E-2</v>
      </c>
      <c r="H11" s="572">
        <f>30250/2/1000000</f>
        <v>1.5125E-2</v>
      </c>
      <c r="I11" s="573">
        <f>+H11</f>
        <v>1.5125E-2</v>
      </c>
      <c r="J11" s="575">
        <f t="shared" ref="J11:J57" si="1">H11+I11</f>
        <v>3.0249999999999999E-2</v>
      </c>
      <c r="K11" s="576">
        <f>SUM(H11*1.1)</f>
        <v>1.66375E-2</v>
      </c>
      <c r="L11" s="576">
        <f>SUM(I11*1.1)</f>
        <v>1.66375E-2</v>
      </c>
      <c r="M11" s="577">
        <f t="shared" ref="M11:M57" si="2">K11+L11</f>
        <v>3.3274999999999999E-2</v>
      </c>
      <c r="N11" s="278"/>
      <c r="O11" s="278"/>
      <c r="P11" s="278"/>
      <c r="Q11" s="278"/>
    </row>
    <row r="12" spans="1:23" s="8" customFormat="1" ht="20.100000000000001" customHeight="1">
      <c r="A12" s="568">
        <v>2</v>
      </c>
      <c r="B12" s="569" t="s">
        <v>1193</v>
      </c>
      <c r="C12" s="570" t="s">
        <v>913</v>
      </c>
      <c r="D12" s="571" t="s">
        <v>909</v>
      </c>
      <c r="E12" s="576">
        <f>37400/1000000</f>
        <v>3.7400000000000003E-2</v>
      </c>
      <c r="F12" s="573"/>
      <c r="G12" s="574">
        <f t="shared" si="0"/>
        <v>3.7400000000000003E-2</v>
      </c>
      <c r="H12" s="572">
        <f>41150/2/1000000</f>
        <v>2.0575E-2</v>
      </c>
      <c r="I12" s="573">
        <f>+H12</f>
        <v>2.0575E-2</v>
      </c>
      <c r="J12" s="575">
        <f t="shared" si="1"/>
        <v>4.1149999999999999E-2</v>
      </c>
      <c r="K12" s="576">
        <f t="shared" ref="K12:K15" si="3">SUM(H12*1.1)</f>
        <v>2.26325E-2</v>
      </c>
      <c r="L12" s="576">
        <f t="shared" ref="L12:L15" si="4">SUM(I12*1.1)</f>
        <v>2.26325E-2</v>
      </c>
      <c r="M12" s="577">
        <f t="shared" si="2"/>
        <v>4.5265E-2</v>
      </c>
      <c r="N12" s="278"/>
      <c r="Q12" s="278"/>
      <c r="V12" s="279" t="s">
        <v>909</v>
      </c>
      <c r="W12" s="278" t="s">
        <v>913</v>
      </c>
    </row>
    <row r="13" spans="1:23" s="8" customFormat="1" ht="20.100000000000001" customHeight="1">
      <c r="A13" s="568">
        <v>3</v>
      </c>
      <c r="B13" s="569" t="s">
        <v>1194</v>
      </c>
      <c r="C13" s="570" t="s">
        <v>913</v>
      </c>
      <c r="D13" s="571" t="s">
        <v>909</v>
      </c>
      <c r="E13" s="576">
        <f>33000/1000000</f>
        <v>3.3000000000000002E-2</v>
      </c>
      <c r="F13" s="573"/>
      <c r="G13" s="574">
        <f t="shared" si="0"/>
        <v>3.3000000000000002E-2</v>
      </c>
      <c r="H13" s="572">
        <f>36300/2/1000000</f>
        <v>1.8149999999999999E-2</v>
      </c>
      <c r="I13" s="573">
        <f>+H13</f>
        <v>1.8149999999999999E-2</v>
      </c>
      <c r="J13" s="575">
        <f t="shared" si="1"/>
        <v>3.6299999999999999E-2</v>
      </c>
      <c r="K13" s="576">
        <f t="shared" si="3"/>
        <v>1.9965E-2</v>
      </c>
      <c r="L13" s="576">
        <f t="shared" si="4"/>
        <v>1.9965E-2</v>
      </c>
      <c r="M13" s="577">
        <f t="shared" si="2"/>
        <v>3.993E-2</v>
      </c>
      <c r="N13" s="278"/>
      <c r="Q13" s="278"/>
      <c r="V13" s="279" t="s">
        <v>912</v>
      </c>
      <c r="W13" s="278" t="s">
        <v>910</v>
      </c>
    </row>
    <row r="14" spans="1:23" s="8" customFormat="1" ht="20.100000000000001" customHeight="1">
      <c r="A14" s="568">
        <v>4</v>
      </c>
      <c r="B14" s="569" t="s">
        <v>1195</v>
      </c>
      <c r="C14" s="570" t="s">
        <v>913</v>
      </c>
      <c r="D14" s="571" t="s">
        <v>909</v>
      </c>
      <c r="E14" s="576">
        <f>27500/1000000</f>
        <v>2.75E-2</v>
      </c>
      <c r="F14" s="573"/>
      <c r="G14" s="574">
        <f t="shared" si="0"/>
        <v>2.75E-2</v>
      </c>
      <c r="H14" s="572">
        <f>30250/2/1000000</f>
        <v>1.5125E-2</v>
      </c>
      <c r="I14" s="573">
        <f>+H14</f>
        <v>1.5125E-2</v>
      </c>
      <c r="J14" s="575">
        <f t="shared" si="1"/>
        <v>3.0249999999999999E-2</v>
      </c>
      <c r="K14" s="576">
        <f t="shared" si="3"/>
        <v>1.66375E-2</v>
      </c>
      <c r="L14" s="576">
        <f t="shared" si="4"/>
        <v>1.66375E-2</v>
      </c>
      <c r="M14" s="577">
        <f t="shared" si="2"/>
        <v>3.3274999999999999E-2</v>
      </c>
      <c r="N14" s="278"/>
      <c r="Q14" s="278"/>
      <c r="V14" s="278"/>
      <c r="W14" s="278" t="s">
        <v>904</v>
      </c>
    </row>
    <row r="15" spans="1:23" s="8" customFormat="1" ht="20.100000000000001" customHeight="1">
      <c r="A15" s="568">
        <v>5</v>
      </c>
      <c r="B15" s="569" t="s">
        <v>1196</v>
      </c>
      <c r="C15" s="570" t="s">
        <v>913</v>
      </c>
      <c r="D15" s="571" t="s">
        <v>909</v>
      </c>
      <c r="E15" s="576">
        <f>25300/1000000</f>
        <v>2.53E-2</v>
      </c>
      <c r="F15" s="573"/>
      <c r="G15" s="574">
        <f t="shared" si="0"/>
        <v>2.53E-2</v>
      </c>
      <c r="H15" s="572">
        <f>27800/2/1000000</f>
        <v>1.3899999999999999E-2</v>
      </c>
      <c r="I15" s="573">
        <f>+H15</f>
        <v>1.3899999999999999E-2</v>
      </c>
      <c r="J15" s="575">
        <f t="shared" si="1"/>
        <v>2.7799999999999998E-2</v>
      </c>
      <c r="K15" s="576">
        <f t="shared" si="3"/>
        <v>1.529E-2</v>
      </c>
      <c r="L15" s="576">
        <f t="shared" si="4"/>
        <v>1.529E-2</v>
      </c>
      <c r="M15" s="577">
        <f t="shared" si="2"/>
        <v>3.058E-2</v>
      </c>
      <c r="N15" s="278"/>
      <c r="Q15" s="278"/>
      <c r="V15" s="278"/>
      <c r="W15" s="278" t="s">
        <v>905</v>
      </c>
    </row>
    <row r="16" spans="1:23" s="8" customFormat="1" ht="20.100000000000001" customHeight="1">
      <c r="A16" s="568"/>
      <c r="B16" s="1450" t="s">
        <v>1197</v>
      </c>
      <c r="C16" s="1451"/>
      <c r="D16" s="1451"/>
      <c r="E16" s="1451"/>
      <c r="F16" s="1451"/>
      <c r="G16" s="1451"/>
      <c r="H16" s="1451"/>
      <c r="I16" s="1451"/>
      <c r="J16" s="1451"/>
      <c r="K16" s="1451"/>
      <c r="L16" s="1468"/>
      <c r="M16" s="577">
        <f t="shared" si="2"/>
        <v>0</v>
      </c>
      <c r="N16" s="278"/>
      <c r="Q16" s="278"/>
      <c r="V16" s="278"/>
      <c r="W16" s="278" t="s">
        <v>906</v>
      </c>
    </row>
    <row r="17" spans="1:23" s="8" customFormat="1" ht="20.100000000000001" customHeight="1">
      <c r="A17" s="568">
        <v>6</v>
      </c>
      <c r="B17" s="569" t="s">
        <v>1198</v>
      </c>
      <c r="C17" s="570" t="s">
        <v>913</v>
      </c>
      <c r="D17" s="571" t="s">
        <v>909</v>
      </c>
      <c r="E17" s="576">
        <f>27500/1000000</f>
        <v>2.75E-2</v>
      </c>
      <c r="F17" s="573"/>
      <c r="G17" s="574">
        <f t="shared" si="0"/>
        <v>2.75E-2</v>
      </c>
      <c r="H17" s="572">
        <f t="shared" ref="H17:H19" si="5">30250/2/1000000</f>
        <v>1.5125E-2</v>
      </c>
      <c r="I17" s="573">
        <f t="shared" ref="I17:I19" si="6">+H17</f>
        <v>1.5125E-2</v>
      </c>
      <c r="J17" s="575">
        <f t="shared" si="1"/>
        <v>3.0249999999999999E-2</v>
      </c>
      <c r="K17" s="576">
        <f>SUM(H17*1.1)</f>
        <v>1.66375E-2</v>
      </c>
      <c r="L17" s="576">
        <f>SUM(I17*1.1)</f>
        <v>1.66375E-2</v>
      </c>
      <c r="M17" s="577">
        <f t="shared" si="2"/>
        <v>3.3274999999999999E-2</v>
      </c>
      <c r="N17" s="278"/>
      <c r="Q17" s="278"/>
      <c r="V17" s="278"/>
      <c r="W17" s="278" t="s">
        <v>907</v>
      </c>
    </row>
    <row r="18" spans="1:23" s="8" customFormat="1" ht="20.100000000000001" customHeight="1">
      <c r="A18" s="568">
        <v>7</v>
      </c>
      <c r="B18" s="569" t="s">
        <v>1199</v>
      </c>
      <c r="C18" s="570" t="s">
        <v>913</v>
      </c>
      <c r="D18" s="571" t="s">
        <v>909</v>
      </c>
      <c r="E18" s="576">
        <f>27500/1000000</f>
        <v>2.75E-2</v>
      </c>
      <c r="F18" s="573"/>
      <c r="G18" s="574">
        <f t="shared" si="0"/>
        <v>2.75E-2</v>
      </c>
      <c r="H18" s="572">
        <f t="shared" si="5"/>
        <v>1.5125E-2</v>
      </c>
      <c r="I18" s="573">
        <f t="shared" si="6"/>
        <v>1.5125E-2</v>
      </c>
      <c r="J18" s="575">
        <f t="shared" si="1"/>
        <v>3.0249999999999999E-2</v>
      </c>
      <c r="K18" s="576">
        <f t="shared" ref="K18:K21" si="7">SUM(H18*1.1)</f>
        <v>1.66375E-2</v>
      </c>
      <c r="L18" s="576">
        <f t="shared" ref="L18:L21" si="8">SUM(I18*1.1)</f>
        <v>1.66375E-2</v>
      </c>
      <c r="M18" s="577">
        <f t="shared" si="2"/>
        <v>3.3274999999999999E-2</v>
      </c>
      <c r="N18" s="278"/>
      <c r="Q18" s="278"/>
      <c r="V18" s="278"/>
      <c r="W18" s="278" t="s">
        <v>908</v>
      </c>
    </row>
    <row r="19" spans="1:23" s="8" customFormat="1" ht="20.100000000000001" customHeight="1">
      <c r="A19" s="568">
        <v>8</v>
      </c>
      <c r="B19" s="569" t="s">
        <v>1200</v>
      </c>
      <c r="C19" s="570" t="s">
        <v>913</v>
      </c>
      <c r="D19" s="571" t="s">
        <v>909</v>
      </c>
      <c r="E19" s="576">
        <f>27500/1000000</f>
        <v>2.75E-2</v>
      </c>
      <c r="F19" s="573"/>
      <c r="G19" s="574">
        <f t="shared" si="0"/>
        <v>2.75E-2</v>
      </c>
      <c r="H19" s="572">
        <f t="shared" si="5"/>
        <v>1.5125E-2</v>
      </c>
      <c r="I19" s="573">
        <f t="shared" si="6"/>
        <v>1.5125E-2</v>
      </c>
      <c r="J19" s="575">
        <f t="shared" si="1"/>
        <v>3.0249999999999999E-2</v>
      </c>
      <c r="K19" s="576">
        <f t="shared" si="7"/>
        <v>1.66375E-2</v>
      </c>
      <c r="L19" s="576">
        <f t="shared" si="8"/>
        <v>1.66375E-2</v>
      </c>
      <c r="M19" s="577">
        <f t="shared" si="2"/>
        <v>3.3274999999999999E-2</v>
      </c>
      <c r="N19" s="278"/>
      <c r="Q19" s="278"/>
      <c r="V19" s="278"/>
      <c r="W19" s="278" t="s">
        <v>151</v>
      </c>
    </row>
    <row r="20" spans="1:23" s="8" customFormat="1" ht="20.100000000000001" customHeight="1">
      <c r="A20" s="568">
        <v>9</v>
      </c>
      <c r="B20" s="569" t="s">
        <v>1201</v>
      </c>
      <c r="C20" s="570" t="s">
        <v>913</v>
      </c>
      <c r="D20" s="571" t="s">
        <v>909</v>
      </c>
      <c r="E20" s="576">
        <f>25300/1000000</f>
        <v>2.53E-2</v>
      </c>
      <c r="F20" s="573"/>
      <c r="G20" s="574">
        <f t="shared" si="0"/>
        <v>2.53E-2</v>
      </c>
      <c r="H20" s="576">
        <f>27800/2/1000000</f>
        <v>1.3899999999999999E-2</v>
      </c>
      <c r="I20" s="573">
        <f>+H20</f>
        <v>1.3899999999999999E-2</v>
      </c>
      <c r="J20" s="575">
        <f t="shared" si="1"/>
        <v>2.7799999999999998E-2</v>
      </c>
      <c r="K20" s="576">
        <f t="shared" si="7"/>
        <v>1.529E-2</v>
      </c>
      <c r="L20" s="576">
        <f t="shared" si="8"/>
        <v>1.529E-2</v>
      </c>
      <c r="M20" s="577">
        <f t="shared" si="2"/>
        <v>3.058E-2</v>
      </c>
      <c r="N20" s="278"/>
      <c r="Q20" s="278"/>
      <c r="V20" s="278"/>
      <c r="W20" s="278" t="s">
        <v>149</v>
      </c>
    </row>
    <row r="21" spans="1:23" s="8" customFormat="1" ht="20.100000000000001" customHeight="1">
      <c r="A21" s="568">
        <v>10</v>
      </c>
      <c r="B21" s="569" t="s">
        <v>1202</v>
      </c>
      <c r="C21" s="570" t="s">
        <v>913</v>
      </c>
      <c r="D21" s="571" t="s">
        <v>909</v>
      </c>
      <c r="E21" s="576">
        <f>27500/1000000</f>
        <v>2.75E-2</v>
      </c>
      <c r="F21" s="573"/>
      <c r="G21" s="574">
        <f t="shared" si="0"/>
        <v>2.75E-2</v>
      </c>
      <c r="H21" s="572">
        <f>30250/2/1000000</f>
        <v>1.5125E-2</v>
      </c>
      <c r="I21" s="573">
        <f>+H21</f>
        <v>1.5125E-2</v>
      </c>
      <c r="J21" s="575">
        <f t="shared" si="1"/>
        <v>3.0249999999999999E-2</v>
      </c>
      <c r="K21" s="576">
        <f t="shared" si="7"/>
        <v>1.66375E-2</v>
      </c>
      <c r="L21" s="576">
        <f t="shared" si="8"/>
        <v>1.66375E-2</v>
      </c>
      <c r="M21" s="577">
        <f t="shared" si="2"/>
        <v>3.3274999999999999E-2</v>
      </c>
      <c r="N21" s="278"/>
      <c r="O21" s="278"/>
      <c r="P21" s="278"/>
      <c r="Q21" s="278"/>
    </row>
    <row r="22" spans="1:23" s="8" customFormat="1" ht="20.100000000000001" customHeight="1">
      <c r="A22" s="568"/>
      <c r="B22" s="1450" t="s">
        <v>1203</v>
      </c>
      <c r="C22" s="1451"/>
      <c r="D22" s="1451"/>
      <c r="E22" s="1451"/>
      <c r="F22" s="1451"/>
      <c r="G22" s="1451"/>
      <c r="H22" s="1451"/>
      <c r="I22" s="1451"/>
      <c r="J22" s="1451"/>
      <c r="K22" s="1451"/>
      <c r="L22" s="1451"/>
      <c r="M22" s="1452"/>
      <c r="N22" s="278"/>
      <c r="O22" s="278"/>
      <c r="P22" s="278"/>
      <c r="Q22" s="278"/>
    </row>
    <row r="23" spans="1:23" s="8" customFormat="1" ht="20.100000000000001" customHeight="1">
      <c r="A23" s="568">
        <v>11</v>
      </c>
      <c r="B23" s="569" t="s">
        <v>1204</v>
      </c>
      <c r="C23" s="578" t="s">
        <v>906</v>
      </c>
      <c r="D23" s="571" t="s">
        <v>909</v>
      </c>
      <c r="E23" s="576">
        <f>44000/1000000</f>
        <v>4.3999999999999997E-2</v>
      </c>
      <c r="F23" s="573"/>
      <c r="G23" s="574">
        <f t="shared" si="0"/>
        <v>4.3999999999999997E-2</v>
      </c>
      <c r="H23" s="576">
        <f>48400/2/1000000</f>
        <v>2.4199999999999999E-2</v>
      </c>
      <c r="I23" s="573">
        <f t="shared" ref="I23:I29" si="9">+H23</f>
        <v>2.4199999999999999E-2</v>
      </c>
      <c r="J23" s="575">
        <f t="shared" si="1"/>
        <v>4.8399999999999999E-2</v>
      </c>
      <c r="K23" s="576">
        <f t="shared" ref="K23:L23" si="10">SUM(H23*1.1)</f>
        <v>2.6620000000000001E-2</v>
      </c>
      <c r="L23" s="576">
        <f t="shared" si="10"/>
        <v>2.6620000000000001E-2</v>
      </c>
      <c r="M23" s="577">
        <f t="shared" si="2"/>
        <v>5.3240000000000003E-2</v>
      </c>
    </row>
    <row r="24" spans="1:23" s="8" customFormat="1" ht="20.100000000000001" customHeight="1">
      <c r="A24" s="568">
        <v>12</v>
      </c>
      <c r="B24" s="569" t="s">
        <v>1205</v>
      </c>
      <c r="C24" s="578" t="s">
        <v>906</v>
      </c>
      <c r="D24" s="571" t="s">
        <v>909</v>
      </c>
      <c r="E24" s="576">
        <f>46200/1000000</f>
        <v>4.6199999999999998E-2</v>
      </c>
      <c r="F24" s="573"/>
      <c r="G24" s="574">
        <f t="shared" si="0"/>
        <v>4.6199999999999998E-2</v>
      </c>
      <c r="H24" s="576">
        <f>50800/1000000/2</f>
        <v>2.5399999999999999E-2</v>
      </c>
      <c r="I24" s="573">
        <f t="shared" si="9"/>
        <v>2.5399999999999999E-2</v>
      </c>
      <c r="J24" s="575">
        <f t="shared" si="1"/>
        <v>5.0799999999999998E-2</v>
      </c>
      <c r="K24" s="576">
        <f t="shared" ref="K24:K29" si="11">SUM(H24*1.1)</f>
        <v>2.794E-2</v>
      </c>
      <c r="L24" s="576">
        <f t="shared" ref="L24:L29" si="12">SUM(I24*1.1)</f>
        <v>2.794E-2</v>
      </c>
      <c r="M24" s="577">
        <f t="shared" si="2"/>
        <v>5.5879999999999999E-2</v>
      </c>
    </row>
    <row r="25" spans="1:23" s="8" customFormat="1" ht="42.75">
      <c r="A25" s="568">
        <v>13</v>
      </c>
      <c r="B25" s="569" t="s">
        <v>1206</v>
      </c>
      <c r="C25" s="578" t="s">
        <v>906</v>
      </c>
      <c r="D25" s="571" t="s">
        <v>909</v>
      </c>
      <c r="E25" s="576">
        <f>44000/1000000</f>
        <v>4.3999999999999997E-2</v>
      </c>
      <c r="F25" s="573"/>
      <c r="G25" s="574">
        <f t="shared" si="0"/>
        <v>4.3999999999999997E-2</v>
      </c>
      <c r="H25" s="576">
        <f>48400/2/1000000</f>
        <v>2.4199999999999999E-2</v>
      </c>
      <c r="I25" s="573">
        <f t="shared" si="9"/>
        <v>2.4199999999999999E-2</v>
      </c>
      <c r="J25" s="575">
        <f t="shared" si="1"/>
        <v>4.8399999999999999E-2</v>
      </c>
      <c r="K25" s="576">
        <f t="shared" si="11"/>
        <v>2.6620000000000001E-2</v>
      </c>
      <c r="L25" s="576">
        <f t="shared" si="12"/>
        <v>2.6620000000000001E-2</v>
      </c>
      <c r="M25" s="577">
        <f t="shared" si="2"/>
        <v>5.3240000000000003E-2</v>
      </c>
    </row>
    <row r="26" spans="1:23" s="8" customFormat="1" ht="20.100000000000001" customHeight="1">
      <c r="A26" s="568">
        <v>14</v>
      </c>
      <c r="B26" s="569" t="s">
        <v>1207</v>
      </c>
      <c r="C26" s="578" t="s">
        <v>906</v>
      </c>
      <c r="D26" s="571" t="s">
        <v>909</v>
      </c>
      <c r="E26" s="576">
        <f>27500/1000000</f>
        <v>2.75E-2</v>
      </c>
      <c r="F26" s="573"/>
      <c r="G26" s="574">
        <f t="shared" si="0"/>
        <v>2.75E-2</v>
      </c>
      <c r="H26" s="572">
        <f>30250/2/1000000</f>
        <v>1.5125E-2</v>
      </c>
      <c r="I26" s="573">
        <f t="shared" si="9"/>
        <v>1.5125E-2</v>
      </c>
      <c r="J26" s="575">
        <f t="shared" si="1"/>
        <v>3.0249999999999999E-2</v>
      </c>
      <c r="K26" s="576">
        <f t="shared" si="11"/>
        <v>1.66375E-2</v>
      </c>
      <c r="L26" s="576">
        <f t="shared" si="12"/>
        <v>1.66375E-2</v>
      </c>
      <c r="M26" s="577">
        <f t="shared" si="2"/>
        <v>3.3274999999999999E-2</v>
      </c>
    </row>
    <row r="27" spans="1:23" s="8" customFormat="1" ht="20.100000000000001" customHeight="1">
      <c r="A27" s="568">
        <v>15</v>
      </c>
      <c r="B27" s="569" t="s">
        <v>1208</v>
      </c>
      <c r="C27" s="578" t="s">
        <v>906</v>
      </c>
      <c r="D27" s="571" t="s">
        <v>909</v>
      </c>
      <c r="E27" s="576">
        <f>46200/1000000</f>
        <v>4.6199999999999998E-2</v>
      </c>
      <c r="F27" s="573"/>
      <c r="G27" s="574">
        <f t="shared" si="0"/>
        <v>4.6199999999999998E-2</v>
      </c>
      <c r="H27" s="576">
        <f>50800/1000000/2</f>
        <v>2.5399999999999999E-2</v>
      </c>
      <c r="I27" s="573">
        <f t="shared" si="9"/>
        <v>2.5399999999999999E-2</v>
      </c>
      <c r="J27" s="575">
        <f t="shared" si="1"/>
        <v>5.0799999999999998E-2</v>
      </c>
      <c r="K27" s="576">
        <f t="shared" si="11"/>
        <v>2.794E-2</v>
      </c>
      <c r="L27" s="576">
        <f t="shared" si="12"/>
        <v>2.794E-2</v>
      </c>
      <c r="M27" s="577">
        <f t="shared" si="2"/>
        <v>5.5879999999999999E-2</v>
      </c>
    </row>
    <row r="28" spans="1:23" s="8" customFormat="1" ht="42.75">
      <c r="A28" s="568">
        <v>16</v>
      </c>
      <c r="B28" s="569" t="s">
        <v>1209</v>
      </c>
      <c r="C28" s="578" t="s">
        <v>906</v>
      </c>
      <c r="D28" s="571" t="s">
        <v>909</v>
      </c>
      <c r="E28" s="576">
        <f>44000/1000000</f>
        <v>4.3999999999999997E-2</v>
      </c>
      <c r="F28" s="573"/>
      <c r="G28" s="574">
        <f t="shared" si="0"/>
        <v>4.3999999999999997E-2</v>
      </c>
      <c r="H28" s="576">
        <f>48400/1000000</f>
        <v>4.8399999999999999E-2</v>
      </c>
      <c r="I28" s="573">
        <f t="shared" si="9"/>
        <v>4.8399999999999999E-2</v>
      </c>
      <c r="J28" s="575">
        <f t="shared" si="1"/>
        <v>9.6799999999999997E-2</v>
      </c>
      <c r="K28" s="576">
        <f t="shared" si="11"/>
        <v>5.3240000000000003E-2</v>
      </c>
      <c r="L28" s="576">
        <f t="shared" si="12"/>
        <v>5.3240000000000003E-2</v>
      </c>
      <c r="M28" s="577">
        <f t="shared" si="2"/>
        <v>0.10648000000000001</v>
      </c>
    </row>
    <row r="29" spans="1:23" s="8" customFormat="1" ht="20.100000000000001" customHeight="1">
      <c r="A29" s="568">
        <v>17</v>
      </c>
      <c r="B29" s="579" t="s">
        <v>1210</v>
      </c>
      <c r="C29" s="578" t="s">
        <v>906</v>
      </c>
      <c r="D29" s="571" t="s">
        <v>909</v>
      </c>
      <c r="E29" s="576">
        <f>44000/1000000</f>
        <v>4.3999999999999997E-2</v>
      </c>
      <c r="F29" s="580"/>
      <c r="G29" s="581">
        <f t="shared" si="0"/>
        <v>4.3999999999999997E-2</v>
      </c>
      <c r="H29" s="576">
        <f>48400/1000000</f>
        <v>4.8399999999999999E-2</v>
      </c>
      <c r="I29" s="573">
        <f t="shared" si="9"/>
        <v>4.8399999999999999E-2</v>
      </c>
      <c r="J29" s="582">
        <f t="shared" si="1"/>
        <v>9.6799999999999997E-2</v>
      </c>
      <c r="K29" s="576">
        <f t="shared" si="11"/>
        <v>5.3240000000000003E-2</v>
      </c>
      <c r="L29" s="576">
        <f t="shared" si="12"/>
        <v>5.3240000000000003E-2</v>
      </c>
      <c r="M29" s="583">
        <f t="shared" si="2"/>
        <v>0.10648000000000001</v>
      </c>
    </row>
    <row r="30" spans="1:23" s="8" customFormat="1" ht="20.100000000000001" customHeight="1">
      <c r="A30" s="584"/>
      <c r="B30" s="1453" t="s">
        <v>1211</v>
      </c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5"/>
    </row>
    <row r="31" spans="1:23" s="8" customFormat="1" ht="20.100000000000001" customHeight="1">
      <c r="A31" s="568">
        <v>18</v>
      </c>
      <c r="B31" s="569" t="s">
        <v>1212</v>
      </c>
      <c r="C31" s="578" t="s">
        <v>904</v>
      </c>
      <c r="D31" s="571" t="s">
        <v>909</v>
      </c>
      <c r="E31" s="576">
        <f>39600/1000000*2</f>
        <v>7.9200000000000007E-2</v>
      </c>
      <c r="F31" s="573"/>
      <c r="G31" s="574">
        <f t="shared" si="0"/>
        <v>7.9200000000000007E-2</v>
      </c>
      <c r="H31" s="576">
        <f>43560/2/1000000</f>
        <v>2.1780000000000001E-2</v>
      </c>
      <c r="I31" s="573">
        <f>+H31</f>
        <v>2.1780000000000001E-2</v>
      </c>
      <c r="J31" s="575">
        <f t="shared" si="1"/>
        <v>4.3560000000000001E-2</v>
      </c>
      <c r="K31" s="576">
        <f t="shared" ref="K31:L31" si="13">SUM(H31*1.1)</f>
        <v>2.3958000000000004E-2</v>
      </c>
      <c r="L31" s="576">
        <f t="shared" si="13"/>
        <v>2.3958000000000004E-2</v>
      </c>
      <c r="M31" s="577">
        <f t="shared" si="2"/>
        <v>4.7916000000000007E-2</v>
      </c>
    </row>
    <row r="32" spans="1:23" s="8" customFormat="1" ht="20.100000000000001" customHeight="1">
      <c r="A32" s="568">
        <v>19</v>
      </c>
      <c r="B32" s="569" t="s">
        <v>1213</v>
      </c>
      <c r="C32" s="578" t="s">
        <v>904</v>
      </c>
      <c r="D32" s="571" t="s">
        <v>909</v>
      </c>
      <c r="E32" s="576">
        <f>29700/1000000*2</f>
        <v>5.9400000000000001E-2</v>
      </c>
      <c r="F32" s="573"/>
      <c r="G32" s="574">
        <f t="shared" si="0"/>
        <v>5.9400000000000001E-2</v>
      </c>
      <c r="H32" s="576">
        <f>32700/2/1000000</f>
        <v>1.635E-2</v>
      </c>
      <c r="I32" s="573">
        <f>+H32</f>
        <v>1.635E-2</v>
      </c>
      <c r="J32" s="575">
        <f t="shared" si="1"/>
        <v>3.27E-2</v>
      </c>
      <c r="K32" s="576">
        <f t="shared" ref="K32:K37" si="14">SUM(H32*1.1)</f>
        <v>1.7985000000000001E-2</v>
      </c>
      <c r="L32" s="576">
        <f t="shared" ref="L32:L37" si="15">SUM(I32*1.1)</f>
        <v>1.7985000000000001E-2</v>
      </c>
      <c r="M32" s="577">
        <f t="shared" si="2"/>
        <v>3.5970000000000002E-2</v>
      </c>
    </row>
    <row r="33" spans="1:13" s="8" customFormat="1" ht="20.100000000000001" customHeight="1">
      <c r="A33" s="568">
        <v>20</v>
      </c>
      <c r="B33" s="569" t="s">
        <v>1214</v>
      </c>
      <c r="C33" s="578" t="s">
        <v>904</v>
      </c>
      <c r="D33" s="571" t="s">
        <v>909</v>
      </c>
      <c r="E33" s="576">
        <f>29700/1000000*2</f>
        <v>5.9400000000000001E-2</v>
      </c>
      <c r="F33" s="573"/>
      <c r="G33" s="574">
        <f t="shared" si="0"/>
        <v>5.9400000000000001E-2</v>
      </c>
      <c r="H33" s="576">
        <f t="shared" ref="H33:H37" si="16">32700/2/1000000</f>
        <v>1.635E-2</v>
      </c>
      <c r="I33" s="573">
        <f t="shared" ref="I33:I37" si="17">+H33</f>
        <v>1.635E-2</v>
      </c>
      <c r="J33" s="575">
        <f t="shared" si="1"/>
        <v>3.27E-2</v>
      </c>
      <c r="K33" s="576">
        <f t="shared" si="14"/>
        <v>1.7985000000000001E-2</v>
      </c>
      <c r="L33" s="576">
        <f t="shared" si="15"/>
        <v>1.7985000000000001E-2</v>
      </c>
      <c r="M33" s="577">
        <f t="shared" si="2"/>
        <v>3.5970000000000002E-2</v>
      </c>
    </row>
    <row r="34" spans="1:13" s="8" customFormat="1" ht="20.100000000000001" customHeight="1">
      <c r="A34" s="568">
        <v>21</v>
      </c>
      <c r="B34" s="569" t="s">
        <v>1215</v>
      </c>
      <c r="C34" s="578" t="s">
        <v>904</v>
      </c>
      <c r="D34" s="571" t="s">
        <v>909</v>
      </c>
      <c r="E34" s="576">
        <f>44000/1000000</f>
        <v>4.3999999999999997E-2</v>
      </c>
      <c r="F34" s="573"/>
      <c r="G34" s="574">
        <f t="shared" si="0"/>
        <v>4.3999999999999997E-2</v>
      </c>
      <c r="H34" s="576">
        <f t="shared" si="16"/>
        <v>1.635E-2</v>
      </c>
      <c r="I34" s="573">
        <f t="shared" si="17"/>
        <v>1.635E-2</v>
      </c>
      <c r="J34" s="575">
        <f t="shared" si="1"/>
        <v>3.27E-2</v>
      </c>
      <c r="K34" s="576">
        <f t="shared" si="14"/>
        <v>1.7985000000000001E-2</v>
      </c>
      <c r="L34" s="576">
        <f t="shared" si="15"/>
        <v>1.7985000000000001E-2</v>
      </c>
      <c r="M34" s="577">
        <f t="shared" si="2"/>
        <v>3.5970000000000002E-2</v>
      </c>
    </row>
    <row r="35" spans="1:13" s="8" customFormat="1" ht="42.75">
      <c r="A35" s="568">
        <v>22</v>
      </c>
      <c r="B35" s="569" t="s">
        <v>1216</v>
      </c>
      <c r="C35" s="578" t="s">
        <v>904</v>
      </c>
      <c r="D35" s="571" t="s">
        <v>909</v>
      </c>
      <c r="E35" s="576">
        <f>29700/1000000</f>
        <v>2.9700000000000001E-2</v>
      </c>
      <c r="F35" s="573"/>
      <c r="G35" s="574">
        <f t="shared" si="0"/>
        <v>2.9700000000000001E-2</v>
      </c>
      <c r="H35" s="576">
        <f t="shared" si="16"/>
        <v>1.635E-2</v>
      </c>
      <c r="I35" s="573">
        <f t="shared" si="17"/>
        <v>1.635E-2</v>
      </c>
      <c r="J35" s="575">
        <f t="shared" si="1"/>
        <v>3.27E-2</v>
      </c>
      <c r="K35" s="576">
        <f t="shared" si="14"/>
        <v>1.7985000000000001E-2</v>
      </c>
      <c r="L35" s="576">
        <f t="shared" si="15"/>
        <v>1.7985000000000001E-2</v>
      </c>
      <c r="M35" s="577">
        <f t="shared" si="2"/>
        <v>3.5970000000000002E-2</v>
      </c>
    </row>
    <row r="36" spans="1:13" s="8" customFormat="1" ht="42.75">
      <c r="A36" s="568">
        <v>23</v>
      </c>
      <c r="B36" s="569" t="s">
        <v>1217</v>
      </c>
      <c r="C36" s="578" t="s">
        <v>904</v>
      </c>
      <c r="D36" s="571" t="s">
        <v>909</v>
      </c>
      <c r="E36" s="576">
        <f>29700/1000000</f>
        <v>2.9700000000000001E-2</v>
      </c>
      <c r="F36" s="573"/>
      <c r="G36" s="574">
        <f t="shared" si="0"/>
        <v>2.9700000000000001E-2</v>
      </c>
      <c r="H36" s="576">
        <f t="shared" si="16"/>
        <v>1.635E-2</v>
      </c>
      <c r="I36" s="573">
        <f t="shared" si="17"/>
        <v>1.635E-2</v>
      </c>
      <c r="J36" s="575">
        <f t="shared" si="1"/>
        <v>3.27E-2</v>
      </c>
      <c r="K36" s="576">
        <f t="shared" si="14"/>
        <v>1.7985000000000001E-2</v>
      </c>
      <c r="L36" s="576">
        <f t="shared" si="15"/>
        <v>1.7985000000000001E-2</v>
      </c>
      <c r="M36" s="577">
        <f t="shared" si="2"/>
        <v>3.5970000000000002E-2</v>
      </c>
    </row>
    <row r="37" spans="1:13" s="8" customFormat="1" ht="20.100000000000001" customHeight="1">
      <c r="A37" s="568">
        <v>24</v>
      </c>
      <c r="B37" s="569" t="s">
        <v>1218</v>
      </c>
      <c r="C37" s="578" t="s">
        <v>904</v>
      </c>
      <c r="D37" s="571" t="s">
        <v>909</v>
      </c>
      <c r="E37" s="576">
        <f>29700/1000000*2</f>
        <v>5.9400000000000001E-2</v>
      </c>
      <c r="F37" s="573"/>
      <c r="G37" s="574">
        <f t="shared" si="0"/>
        <v>5.9400000000000001E-2</v>
      </c>
      <c r="H37" s="576">
        <f t="shared" si="16"/>
        <v>1.635E-2</v>
      </c>
      <c r="I37" s="573">
        <f t="shared" si="17"/>
        <v>1.635E-2</v>
      </c>
      <c r="J37" s="575">
        <f t="shared" si="1"/>
        <v>3.27E-2</v>
      </c>
      <c r="K37" s="576">
        <f t="shared" si="14"/>
        <v>1.7985000000000001E-2</v>
      </c>
      <c r="L37" s="576">
        <f t="shared" si="15"/>
        <v>1.7985000000000001E-2</v>
      </c>
      <c r="M37" s="577">
        <f t="shared" si="2"/>
        <v>3.5970000000000002E-2</v>
      </c>
    </row>
    <row r="38" spans="1:13" s="8" customFormat="1" ht="20.100000000000001" customHeight="1">
      <c r="A38" s="568"/>
      <c r="B38" s="1450" t="s">
        <v>1219</v>
      </c>
      <c r="C38" s="1451"/>
      <c r="D38" s="1451"/>
      <c r="E38" s="1451"/>
      <c r="F38" s="1451"/>
      <c r="G38" s="1451"/>
      <c r="H38" s="1451"/>
      <c r="I38" s="1451"/>
      <c r="J38" s="1451"/>
      <c r="K38" s="1451"/>
      <c r="L38" s="1451"/>
      <c r="M38" s="1452"/>
    </row>
    <row r="39" spans="1:13" s="8" customFormat="1" ht="20.100000000000001" customHeight="1">
      <c r="A39" s="568">
        <v>25</v>
      </c>
      <c r="B39" s="569" t="s">
        <v>1220</v>
      </c>
      <c r="C39" s="578" t="s">
        <v>904</v>
      </c>
      <c r="D39" s="571" t="s">
        <v>909</v>
      </c>
      <c r="E39" s="576">
        <f>44000/1000000</f>
        <v>4.3999999999999997E-2</v>
      </c>
      <c r="F39" s="573"/>
      <c r="G39" s="574">
        <f t="shared" si="0"/>
        <v>4.3999999999999997E-2</v>
      </c>
      <c r="H39" s="576">
        <f>48400/2/1000000</f>
        <v>2.4199999999999999E-2</v>
      </c>
      <c r="I39" s="573">
        <f>+H39</f>
        <v>2.4199999999999999E-2</v>
      </c>
      <c r="J39" s="575">
        <f t="shared" si="1"/>
        <v>4.8399999999999999E-2</v>
      </c>
      <c r="K39" s="576">
        <f>SUM(H39*1.1)</f>
        <v>2.6620000000000001E-2</v>
      </c>
      <c r="L39" s="576">
        <f>SUM(I39*1.1)</f>
        <v>2.6620000000000001E-2</v>
      </c>
      <c r="M39" s="577">
        <f t="shared" si="2"/>
        <v>5.3240000000000003E-2</v>
      </c>
    </row>
    <row r="40" spans="1:13" s="8" customFormat="1" ht="20.100000000000001" customHeight="1">
      <c r="A40" s="568">
        <v>26</v>
      </c>
      <c r="B40" s="569" t="s">
        <v>1221</v>
      </c>
      <c r="C40" s="578" t="s">
        <v>904</v>
      </c>
      <c r="D40" s="571" t="s">
        <v>909</v>
      </c>
      <c r="E40" s="576">
        <f>44000/1000000</f>
        <v>4.3999999999999997E-2</v>
      </c>
      <c r="F40" s="573"/>
      <c r="G40" s="574">
        <f t="shared" si="0"/>
        <v>4.3999999999999997E-2</v>
      </c>
      <c r="H40" s="576">
        <f>48400/2/1000000</f>
        <v>2.4199999999999999E-2</v>
      </c>
      <c r="I40" s="573">
        <f>+H40</f>
        <v>2.4199999999999999E-2</v>
      </c>
      <c r="J40" s="575">
        <f t="shared" si="1"/>
        <v>4.8399999999999999E-2</v>
      </c>
      <c r="K40" s="576">
        <f t="shared" ref="K40:K43" si="18">SUM(H40*1.1)</f>
        <v>2.6620000000000001E-2</v>
      </c>
      <c r="L40" s="576">
        <f t="shared" ref="L40:L43" si="19">SUM(I40*1.1)</f>
        <v>2.6620000000000001E-2</v>
      </c>
      <c r="M40" s="577">
        <f t="shared" si="2"/>
        <v>5.3240000000000003E-2</v>
      </c>
    </row>
    <row r="41" spans="1:13" s="8" customFormat="1" ht="20.100000000000001" customHeight="1">
      <c r="A41" s="568">
        <v>27</v>
      </c>
      <c r="B41" s="569" t="s">
        <v>1222</v>
      </c>
      <c r="C41" s="578" t="s">
        <v>904</v>
      </c>
      <c r="D41" s="571" t="s">
        <v>909</v>
      </c>
      <c r="E41" s="576">
        <f>38500/1000000</f>
        <v>3.85E-2</v>
      </c>
      <c r="F41" s="573"/>
      <c r="G41" s="574">
        <f t="shared" si="0"/>
        <v>3.85E-2</v>
      </c>
      <c r="H41" s="576">
        <f>42350/1000000</f>
        <v>4.2349999999999999E-2</v>
      </c>
      <c r="I41" s="573">
        <f>+H41</f>
        <v>4.2349999999999999E-2</v>
      </c>
      <c r="J41" s="575">
        <f t="shared" si="1"/>
        <v>8.4699999999999998E-2</v>
      </c>
      <c r="K41" s="576">
        <f t="shared" si="18"/>
        <v>4.6585000000000001E-2</v>
      </c>
      <c r="L41" s="576">
        <f t="shared" si="19"/>
        <v>4.6585000000000001E-2</v>
      </c>
      <c r="M41" s="577">
        <f t="shared" si="2"/>
        <v>9.3170000000000003E-2</v>
      </c>
    </row>
    <row r="42" spans="1:13" s="8" customFormat="1" ht="20.100000000000001" customHeight="1">
      <c r="A42" s="568">
        <v>28</v>
      </c>
      <c r="B42" s="569" t="s">
        <v>1223</v>
      </c>
      <c r="C42" s="578" t="s">
        <v>904</v>
      </c>
      <c r="D42" s="571" t="s">
        <v>909</v>
      </c>
      <c r="E42" s="576">
        <f>40700/1000000</f>
        <v>4.07E-2</v>
      </c>
      <c r="F42" s="573"/>
      <c r="G42" s="574">
        <f t="shared" si="0"/>
        <v>4.07E-2</v>
      </c>
      <c r="H42" s="576">
        <f>44800/1000000</f>
        <v>4.48E-2</v>
      </c>
      <c r="I42" s="573">
        <f>+H42</f>
        <v>4.48E-2</v>
      </c>
      <c r="J42" s="575">
        <f t="shared" si="1"/>
        <v>8.9599999999999999E-2</v>
      </c>
      <c r="K42" s="576">
        <f t="shared" si="18"/>
        <v>4.9280000000000004E-2</v>
      </c>
      <c r="L42" s="576">
        <f t="shared" si="19"/>
        <v>4.9280000000000004E-2</v>
      </c>
      <c r="M42" s="577">
        <f t="shared" si="2"/>
        <v>9.8560000000000009E-2</v>
      </c>
    </row>
    <row r="43" spans="1:13" s="8" customFormat="1" ht="20.100000000000001" customHeight="1">
      <c r="A43" s="568">
        <v>29</v>
      </c>
      <c r="B43" s="569" t="s">
        <v>1224</v>
      </c>
      <c r="C43" s="578" t="s">
        <v>904</v>
      </c>
      <c r="D43" s="571" t="s">
        <v>909</v>
      </c>
      <c r="E43" s="576">
        <f>38500/1000000</f>
        <v>3.85E-2</v>
      </c>
      <c r="F43" s="573"/>
      <c r="G43" s="574">
        <f t="shared" si="0"/>
        <v>3.85E-2</v>
      </c>
      <c r="H43" s="576">
        <f>42350/1000000</f>
        <v>4.2349999999999999E-2</v>
      </c>
      <c r="I43" s="573">
        <f>+H43</f>
        <v>4.2349999999999999E-2</v>
      </c>
      <c r="J43" s="575">
        <f t="shared" si="1"/>
        <v>8.4699999999999998E-2</v>
      </c>
      <c r="K43" s="576">
        <f t="shared" si="18"/>
        <v>4.6585000000000001E-2</v>
      </c>
      <c r="L43" s="576">
        <f t="shared" si="19"/>
        <v>4.6585000000000001E-2</v>
      </c>
      <c r="M43" s="577">
        <f t="shared" si="2"/>
        <v>9.3170000000000003E-2</v>
      </c>
    </row>
    <row r="44" spans="1:13" s="8" customFormat="1" ht="20.100000000000001" customHeight="1">
      <c r="A44" s="568"/>
      <c r="B44" s="1450" t="s">
        <v>1225</v>
      </c>
      <c r="C44" s="1451"/>
      <c r="D44" s="1451"/>
      <c r="E44" s="1451"/>
      <c r="F44" s="1451"/>
      <c r="G44" s="1451"/>
      <c r="H44" s="1451"/>
      <c r="I44" s="1451"/>
      <c r="J44" s="1451"/>
      <c r="K44" s="1451"/>
      <c r="L44" s="1451"/>
      <c r="M44" s="1452"/>
    </row>
    <row r="45" spans="1:13" s="8" customFormat="1" ht="20.100000000000001" customHeight="1">
      <c r="A45" s="568">
        <v>30</v>
      </c>
      <c r="B45" s="569" t="s">
        <v>1226</v>
      </c>
      <c r="C45" s="569" t="s">
        <v>910</v>
      </c>
      <c r="D45" s="571" t="s">
        <v>909</v>
      </c>
      <c r="E45" s="576">
        <f>44000/1000000</f>
        <v>4.3999999999999997E-2</v>
      </c>
      <c r="F45" s="573"/>
      <c r="G45" s="574">
        <f t="shared" si="0"/>
        <v>4.3999999999999997E-2</v>
      </c>
      <c r="H45" s="576">
        <f t="shared" ref="H45:H46" si="20">48400/2/1000000</f>
        <v>2.4199999999999999E-2</v>
      </c>
      <c r="I45" s="573">
        <f t="shared" ref="I45:I46" si="21">+H45</f>
        <v>2.4199999999999999E-2</v>
      </c>
      <c r="J45" s="575">
        <f t="shared" si="1"/>
        <v>4.8399999999999999E-2</v>
      </c>
      <c r="K45" s="576">
        <f t="shared" ref="K45:L45" si="22">SUM(H45*1.1)</f>
        <v>2.6620000000000001E-2</v>
      </c>
      <c r="L45" s="576">
        <f t="shared" si="22"/>
        <v>2.6620000000000001E-2</v>
      </c>
      <c r="M45" s="577">
        <f t="shared" si="2"/>
        <v>5.3240000000000003E-2</v>
      </c>
    </row>
    <row r="46" spans="1:13" s="8" customFormat="1" ht="20.100000000000001" customHeight="1">
      <c r="A46" s="568">
        <v>31</v>
      </c>
      <c r="B46" s="569" t="s">
        <v>1227</v>
      </c>
      <c r="C46" s="569" t="s">
        <v>910</v>
      </c>
      <c r="D46" s="571" t="s">
        <v>909</v>
      </c>
      <c r="E46" s="576">
        <f>44000/1000000</f>
        <v>4.3999999999999997E-2</v>
      </c>
      <c r="F46" s="573"/>
      <c r="G46" s="574">
        <f t="shared" si="0"/>
        <v>4.3999999999999997E-2</v>
      </c>
      <c r="H46" s="576">
        <f t="shared" si="20"/>
        <v>2.4199999999999999E-2</v>
      </c>
      <c r="I46" s="573">
        <f t="shared" si="21"/>
        <v>2.4199999999999999E-2</v>
      </c>
      <c r="J46" s="575">
        <f t="shared" si="1"/>
        <v>4.8399999999999999E-2</v>
      </c>
      <c r="K46" s="576">
        <f t="shared" ref="K46:K57" si="23">SUM(H46*1.1)</f>
        <v>2.6620000000000001E-2</v>
      </c>
      <c r="L46" s="576">
        <f t="shared" ref="L46:L57" si="24">SUM(I46*1.1)</f>
        <v>2.6620000000000001E-2</v>
      </c>
      <c r="M46" s="577">
        <f t="shared" si="2"/>
        <v>5.3240000000000003E-2</v>
      </c>
    </row>
    <row r="47" spans="1:13" s="8" customFormat="1" ht="20.100000000000001" customHeight="1">
      <c r="A47" s="568">
        <v>32</v>
      </c>
      <c r="B47" s="569" t="s">
        <v>1228</v>
      </c>
      <c r="C47" s="569" t="s">
        <v>910</v>
      </c>
      <c r="D47" s="571" t="s">
        <v>909</v>
      </c>
      <c r="E47" s="576">
        <f>33000/1000000</f>
        <v>3.3000000000000002E-2</v>
      </c>
      <c r="F47" s="573"/>
      <c r="G47" s="574">
        <f t="shared" si="0"/>
        <v>3.3000000000000002E-2</v>
      </c>
      <c r="H47" s="576">
        <f>36300/2/1000000</f>
        <v>1.8149999999999999E-2</v>
      </c>
      <c r="I47" s="573">
        <f t="shared" ref="I47:I57" si="25">+H47</f>
        <v>1.8149999999999999E-2</v>
      </c>
      <c r="J47" s="575">
        <f t="shared" si="1"/>
        <v>3.6299999999999999E-2</v>
      </c>
      <c r="K47" s="576">
        <f t="shared" si="23"/>
        <v>1.9965E-2</v>
      </c>
      <c r="L47" s="576">
        <f t="shared" si="24"/>
        <v>1.9965E-2</v>
      </c>
      <c r="M47" s="577">
        <f t="shared" si="2"/>
        <v>3.993E-2</v>
      </c>
    </row>
    <row r="48" spans="1:13" s="8" customFormat="1" ht="20.100000000000001" customHeight="1">
      <c r="A48" s="568">
        <v>33</v>
      </c>
      <c r="B48" s="569" t="s">
        <v>1229</v>
      </c>
      <c r="C48" s="569" t="s">
        <v>910</v>
      </c>
      <c r="D48" s="571" t="s">
        <v>909</v>
      </c>
      <c r="E48" s="576">
        <f>29700/1000000</f>
        <v>2.9700000000000001E-2</v>
      </c>
      <c r="F48" s="573"/>
      <c r="G48" s="574">
        <f t="shared" si="0"/>
        <v>2.9700000000000001E-2</v>
      </c>
      <c r="H48" s="576">
        <f>32700/1000000/2</f>
        <v>1.635E-2</v>
      </c>
      <c r="I48" s="573">
        <f t="shared" si="25"/>
        <v>1.635E-2</v>
      </c>
      <c r="J48" s="575">
        <f t="shared" si="1"/>
        <v>3.27E-2</v>
      </c>
      <c r="K48" s="576">
        <f t="shared" si="23"/>
        <v>1.7985000000000001E-2</v>
      </c>
      <c r="L48" s="576">
        <f t="shared" si="24"/>
        <v>1.7985000000000001E-2</v>
      </c>
      <c r="M48" s="577">
        <f t="shared" si="2"/>
        <v>3.5970000000000002E-2</v>
      </c>
    </row>
    <row r="49" spans="1:13" s="8" customFormat="1" ht="20.100000000000001" customHeight="1">
      <c r="A49" s="568">
        <v>34</v>
      </c>
      <c r="B49" s="569" t="s">
        <v>1230</v>
      </c>
      <c r="C49" s="569" t="s">
        <v>910</v>
      </c>
      <c r="D49" s="571" t="s">
        <v>909</v>
      </c>
      <c r="E49" s="576">
        <f>33000/1000000*2</f>
        <v>6.6000000000000003E-2</v>
      </c>
      <c r="F49" s="573"/>
      <c r="G49" s="574">
        <f t="shared" si="0"/>
        <v>6.6000000000000003E-2</v>
      </c>
      <c r="H49" s="576">
        <f>42350/1000000/2</f>
        <v>2.1174999999999999E-2</v>
      </c>
      <c r="I49" s="573">
        <f t="shared" si="25"/>
        <v>2.1174999999999999E-2</v>
      </c>
      <c r="J49" s="575">
        <f t="shared" si="1"/>
        <v>4.2349999999999999E-2</v>
      </c>
      <c r="K49" s="576">
        <f t="shared" si="23"/>
        <v>2.3292500000000001E-2</v>
      </c>
      <c r="L49" s="576">
        <f t="shared" si="24"/>
        <v>2.3292500000000001E-2</v>
      </c>
      <c r="M49" s="577">
        <f t="shared" si="2"/>
        <v>4.6585000000000001E-2</v>
      </c>
    </row>
    <row r="50" spans="1:13" s="8" customFormat="1" ht="20.100000000000001" customHeight="1">
      <c r="A50" s="568">
        <v>35</v>
      </c>
      <c r="B50" s="569" t="s">
        <v>1231</v>
      </c>
      <c r="C50" s="569" t="s">
        <v>910</v>
      </c>
      <c r="D50" s="571" t="s">
        <v>909</v>
      </c>
      <c r="E50" s="576">
        <f>33000/1000000</f>
        <v>3.3000000000000002E-2</v>
      </c>
      <c r="F50" s="573"/>
      <c r="G50" s="574">
        <f t="shared" si="0"/>
        <v>3.3000000000000002E-2</v>
      </c>
      <c r="H50" s="576">
        <f>36300/2/1000000</f>
        <v>1.8149999999999999E-2</v>
      </c>
      <c r="I50" s="573">
        <f t="shared" si="25"/>
        <v>1.8149999999999999E-2</v>
      </c>
      <c r="J50" s="575">
        <f t="shared" si="1"/>
        <v>3.6299999999999999E-2</v>
      </c>
      <c r="K50" s="576">
        <f t="shared" si="23"/>
        <v>1.9965E-2</v>
      </c>
      <c r="L50" s="576">
        <f t="shared" si="24"/>
        <v>1.9965E-2</v>
      </c>
      <c r="M50" s="577">
        <f t="shared" si="2"/>
        <v>3.993E-2</v>
      </c>
    </row>
    <row r="51" spans="1:13" s="8" customFormat="1" ht="20.100000000000001" customHeight="1">
      <c r="A51" s="568">
        <v>36</v>
      </c>
      <c r="B51" s="569" t="s">
        <v>1232</v>
      </c>
      <c r="C51" s="569" t="s">
        <v>910</v>
      </c>
      <c r="D51" s="571" t="s">
        <v>909</v>
      </c>
      <c r="E51" s="576">
        <f>27500/1000000*2</f>
        <v>5.5E-2</v>
      </c>
      <c r="F51" s="573"/>
      <c r="G51" s="574">
        <f t="shared" si="0"/>
        <v>5.5E-2</v>
      </c>
      <c r="H51" s="576">
        <f>30250/2/1000000</f>
        <v>1.5125E-2</v>
      </c>
      <c r="I51" s="573">
        <f t="shared" si="25"/>
        <v>1.5125E-2</v>
      </c>
      <c r="J51" s="575">
        <f t="shared" si="1"/>
        <v>3.0249999999999999E-2</v>
      </c>
      <c r="K51" s="576">
        <f t="shared" si="23"/>
        <v>1.66375E-2</v>
      </c>
      <c r="L51" s="576">
        <f t="shared" si="24"/>
        <v>1.66375E-2</v>
      </c>
      <c r="M51" s="577">
        <f t="shared" si="2"/>
        <v>3.3274999999999999E-2</v>
      </c>
    </row>
    <row r="52" spans="1:13" s="8" customFormat="1" ht="20.100000000000001" customHeight="1">
      <c r="A52" s="568">
        <v>37</v>
      </c>
      <c r="B52" s="569" t="s">
        <v>1233</v>
      </c>
      <c r="C52" s="569" t="s">
        <v>910</v>
      </c>
      <c r="D52" s="571" t="s">
        <v>909</v>
      </c>
      <c r="E52" s="576">
        <f>33000/1000000</f>
        <v>3.3000000000000002E-2</v>
      </c>
      <c r="F52" s="573"/>
      <c r="G52" s="574">
        <f t="shared" si="0"/>
        <v>3.3000000000000002E-2</v>
      </c>
      <c r="H52" s="576">
        <f>36300/2/1000000</f>
        <v>1.8149999999999999E-2</v>
      </c>
      <c r="I52" s="573">
        <f t="shared" si="25"/>
        <v>1.8149999999999999E-2</v>
      </c>
      <c r="J52" s="575">
        <f t="shared" si="1"/>
        <v>3.6299999999999999E-2</v>
      </c>
      <c r="K52" s="576">
        <f t="shared" si="23"/>
        <v>1.9965E-2</v>
      </c>
      <c r="L52" s="576">
        <f t="shared" si="24"/>
        <v>1.9965E-2</v>
      </c>
      <c r="M52" s="577">
        <f t="shared" si="2"/>
        <v>3.993E-2</v>
      </c>
    </row>
    <row r="53" spans="1:13" s="8" customFormat="1" ht="20.100000000000001" customHeight="1">
      <c r="A53" s="568">
        <v>38</v>
      </c>
      <c r="B53" s="569" t="s">
        <v>1234</v>
      </c>
      <c r="C53" s="569" t="s">
        <v>910</v>
      </c>
      <c r="D53" s="571" t="s">
        <v>909</v>
      </c>
      <c r="E53" s="576">
        <f>27500/1000000</f>
        <v>2.75E-2</v>
      </c>
      <c r="F53" s="573"/>
      <c r="G53" s="574">
        <f t="shared" si="0"/>
        <v>2.75E-2</v>
      </c>
      <c r="H53" s="576">
        <f>30250/1000000/2</f>
        <v>1.5125E-2</v>
      </c>
      <c r="I53" s="573">
        <f t="shared" si="25"/>
        <v>1.5125E-2</v>
      </c>
      <c r="J53" s="575">
        <f t="shared" si="1"/>
        <v>3.0249999999999999E-2</v>
      </c>
      <c r="K53" s="576">
        <f t="shared" si="23"/>
        <v>1.66375E-2</v>
      </c>
      <c r="L53" s="576">
        <f t="shared" si="24"/>
        <v>1.66375E-2</v>
      </c>
      <c r="M53" s="577">
        <f t="shared" si="2"/>
        <v>3.3274999999999999E-2</v>
      </c>
    </row>
    <row r="54" spans="1:13" s="8" customFormat="1" ht="20.100000000000001" customHeight="1">
      <c r="A54" s="568">
        <v>39</v>
      </c>
      <c r="B54" s="569" t="s">
        <v>1235</v>
      </c>
      <c r="C54" s="569" t="s">
        <v>910</v>
      </c>
      <c r="D54" s="571" t="s">
        <v>909</v>
      </c>
      <c r="E54" s="576">
        <f>29700/1000000</f>
        <v>2.9700000000000001E-2</v>
      </c>
      <c r="F54" s="573"/>
      <c r="G54" s="574">
        <f t="shared" si="0"/>
        <v>2.9700000000000001E-2</v>
      </c>
      <c r="H54" s="576">
        <f>32700/2/1000000</f>
        <v>1.635E-2</v>
      </c>
      <c r="I54" s="573">
        <f t="shared" si="25"/>
        <v>1.635E-2</v>
      </c>
      <c r="J54" s="575">
        <f t="shared" si="1"/>
        <v>3.27E-2</v>
      </c>
      <c r="K54" s="576">
        <f t="shared" si="23"/>
        <v>1.7985000000000001E-2</v>
      </c>
      <c r="L54" s="576">
        <f t="shared" si="24"/>
        <v>1.7985000000000001E-2</v>
      </c>
      <c r="M54" s="577">
        <f t="shared" si="2"/>
        <v>3.5970000000000002E-2</v>
      </c>
    </row>
    <row r="55" spans="1:13" s="8" customFormat="1" ht="20.100000000000001" customHeight="1">
      <c r="A55" s="568"/>
      <c r="B55" s="569" t="s">
        <v>1236</v>
      </c>
      <c r="C55" s="569" t="s">
        <v>910</v>
      </c>
      <c r="D55" s="571" t="s">
        <v>909</v>
      </c>
      <c r="E55" s="576">
        <f>29700/1000000</f>
        <v>2.9700000000000001E-2</v>
      </c>
      <c r="F55" s="573"/>
      <c r="G55" s="574">
        <f>E55+F55</f>
        <v>2.9700000000000001E-2</v>
      </c>
      <c r="H55" s="576">
        <f>32700/1000000/2</f>
        <v>1.635E-2</v>
      </c>
      <c r="I55" s="573">
        <f t="shared" si="25"/>
        <v>1.635E-2</v>
      </c>
      <c r="J55" s="575">
        <f>H55+I55</f>
        <v>3.27E-2</v>
      </c>
      <c r="K55" s="576">
        <f t="shared" si="23"/>
        <v>1.7985000000000001E-2</v>
      </c>
      <c r="L55" s="576">
        <f t="shared" si="24"/>
        <v>1.7985000000000001E-2</v>
      </c>
      <c r="M55" s="577">
        <f>K55+L55</f>
        <v>3.5970000000000002E-2</v>
      </c>
    </row>
    <row r="56" spans="1:13" s="8" customFormat="1" ht="20.100000000000001" customHeight="1">
      <c r="A56" s="568"/>
      <c r="B56" s="569" t="s">
        <v>1237</v>
      </c>
      <c r="C56" s="569" t="s">
        <v>910</v>
      </c>
      <c r="D56" s="571" t="s">
        <v>909</v>
      </c>
      <c r="E56" s="576">
        <f>29050/1000000*2</f>
        <v>5.8099999999999999E-2</v>
      </c>
      <c r="F56" s="573"/>
      <c r="G56" s="574">
        <f>E56+F56</f>
        <v>5.8099999999999999E-2</v>
      </c>
      <c r="H56" s="576">
        <f>29050/1000000/2</f>
        <v>1.4525E-2</v>
      </c>
      <c r="I56" s="573">
        <f t="shared" si="25"/>
        <v>1.4525E-2</v>
      </c>
      <c r="J56" s="575">
        <f>H56+I56</f>
        <v>2.9049999999999999E-2</v>
      </c>
      <c r="K56" s="576">
        <f t="shared" si="23"/>
        <v>1.5977500000000002E-2</v>
      </c>
      <c r="L56" s="576">
        <f t="shared" si="24"/>
        <v>1.5977500000000002E-2</v>
      </c>
      <c r="M56" s="577">
        <f>K56+L56</f>
        <v>3.1955000000000004E-2</v>
      </c>
    </row>
    <row r="57" spans="1:13" s="8" customFormat="1" ht="15">
      <c r="A57" s="568">
        <v>40</v>
      </c>
      <c r="B57" s="569" t="s">
        <v>1238</v>
      </c>
      <c r="C57" s="569" t="s">
        <v>910</v>
      </c>
      <c r="D57" s="571" t="s">
        <v>909</v>
      </c>
      <c r="E57" s="576">
        <f>32700/1000000</f>
        <v>3.27E-2</v>
      </c>
      <c r="F57" s="573"/>
      <c r="G57" s="574">
        <f t="shared" si="0"/>
        <v>3.27E-2</v>
      </c>
      <c r="H57" s="576">
        <f>32700/2/1000000</f>
        <v>1.635E-2</v>
      </c>
      <c r="I57" s="573">
        <f t="shared" si="25"/>
        <v>1.635E-2</v>
      </c>
      <c r="J57" s="575">
        <f t="shared" si="1"/>
        <v>3.27E-2</v>
      </c>
      <c r="K57" s="576">
        <f t="shared" si="23"/>
        <v>1.7985000000000001E-2</v>
      </c>
      <c r="L57" s="576">
        <f t="shared" si="24"/>
        <v>1.7985000000000001E-2</v>
      </c>
      <c r="M57" s="577">
        <f t="shared" si="2"/>
        <v>3.5970000000000002E-2</v>
      </c>
    </row>
    <row r="58" spans="1:13" s="8" customFormat="1" ht="20.100000000000001" customHeight="1">
      <c r="A58" s="1456" t="s">
        <v>1239</v>
      </c>
      <c r="B58" s="1457"/>
      <c r="C58" s="1457"/>
      <c r="D58" s="1457"/>
      <c r="E58" s="1457"/>
      <c r="F58" s="1457"/>
      <c r="G58" s="1457"/>
      <c r="H58" s="1457"/>
      <c r="I58" s="1457"/>
      <c r="J58" s="1457"/>
      <c r="K58" s="1457"/>
      <c r="L58" s="1457"/>
      <c r="M58" s="1458"/>
    </row>
    <row r="59" spans="1:13" s="8" customFormat="1" ht="20.100000000000001" customHeight="1">
      <c r="A59" s="568"/>
      <c r="B59" s="1459" t="s">
        <v>1191</v>
      </c>
      <c r="C59" s="1460"/>
      <c r="D59" s="1460"/>
      <c r="E59" s="1460"/>
      <c r="F59" s="1460"/>
      <c r="G59" s="1460"/>
      <c r="H59" s="1460"/>
      <c r="I59" s="1460"/>
      <c r="J59" s="1460"/>
      <c r="K59" s="1460"/>
      <c r="L59" s="1460"/>
      <c r="M59" s="1461"/>
    </row>
    <row r="60" spans="1:13" s="8" customFormat="1" ht="20.100000000000001" customHeight="1">
      <c r="A60" s="568"/>
      <c r="B60" s="569" t="s">
        <v>1272</v>
      </c>
      <c r="C60" s="578" t="s">
        <v>913</v>
      </c>
      <c r="D60" s="571" t="s">
        <v>909</v>
      </c>
      <c r="E60" s="576">
        <f>29700/1000000</f>
        <v>2.9700000000000001E-2</v>
      </c>
      <c r="F60" s="573"/>
      <c r="G60" s="574">
        <f t="shared" ref="G60:G105" si="26">E60+F60</f>
        <v>2.9700000000000001E-2</v>
      </c>
      <c r="H60" s="576">
        <f>32700/1000000/2</f>
        <v>1.635E-2</v>
      </c>
      <c r="I60" s="573">
        <f>+H60</f>
        <v>1.635E-2</v>
      </c>
      <c r="J60" s="575">
        <f t="shared" ref="J60:J105" si="27">H60+I60</f>
        <v>3.27E-2</v>
      </c>
      <c r="K60" s="576">
        <f>SUM(H60*1.1)</f>
        <v>1.7985000000000001E-2</v>
      </c>
      <c r="L60" s="576">
        <f>SUM(I60*1.1)</f>
        <v>1.7985000000000001E-2</v>
      </c>
      <c r="M60" s="577">
        <f t="shared" ref="M60:M105" si="28">K60+L60</f>
        <v>3.5970000000000002E-2</v>
      </c>
    </row>
    <row r="61" spans="1:13" s="8" customFormat="1" ht="20.100000000000001" customHeight="1">
      <c r="A61" s="568"/>
      <c r="B61" s="569" t="s">
        <v>1273</v>
      </c>
      <c r="C61" s="585" t="s">
        <v>913</v>
      </c>
      <c r="D61" s="571" t="s">
        <v>909</v>
      </c>
      <c r="E61" s="576">
        <f>27500/1000000*2</f>
        <v>5.5E-2</v>
      </c>
      <c r="F61" s="573"/>
      <c r="G61" s="574">
        <f t="shared" ref="G61:G62" si="29">E61+F61</f>
        <v>5.5E-2</v>
      </c>
      <c r="H61" s="576">
        <f>30250/2/1000000</f>
        <v>1.5125E-2</v>
      </c>
      <c r="I61" s="573">
        <f>+H61</f>
        <v>1.5125E-2</v>
      </c>
      <c r="J61" s="575">
        <f t="shared" ref="J61:J62" si="30">H61+I61</f>
        <v>3.0249999999999999E-2</v>
      </c>
      <c r="K61" s="576">
        <f t="shared" ref="K61:K63" si="31">SUM(H61*1.1)</f>
        <v>1.66375E-2</v>
      </c>
      <c r="L61" s="576">
        <f t="shared" ref="L61:L63" si="32">SUM(I61*1.1)</f>
        <v>1.66375E-2</v>
      </c>
      <c r="M61" s="577">
        <f t="shared" ref="M61:M62" si="33">K61+L61</f>
        <v>3.3274999999999999E-2</v>
      </c>
    </row>
    <row r="62" spans="1:13" s="8" customFormat="1" ht="20.100000000000001" customHeight="1">
      <c r="A62" s="568"/>
      <c r="B62" s="569" t="s">
        <v>1274</v>
      </c>
      <c r="C62" s="585" t="s">
        <v>913</v>
      </c>
      <c r="D62" s="571" t="s">
        <v>909</v>
      </c>
      <c r="E62" s="576">
        <f>27500/1000000*2</f>
        <v>5.5E-2</v>
      </c>
      <c r="F62" s="573"/>
      <c r="G62" s="574">
        <f t="shared" si="29"/>
        <v>5.5E-2</v>
      </c>
      <c r="H62" s="576">
        <f t="shared" ref="H62:H63" si="34">30250/2/1000000</f>
        <v>1.5125E-2</v>
      </c>
      <c r="I62" s="573">
        <f t="shared" ref="I62:I63" si="35">+H62</f>
        <v>1.5125E-2</v>
      </c>
      <c r="J62" s="575">
        <f t="shared" si="30"/>
        <v>3.0249999999999999E-2</v>
      </c>
      <c r="K62" s="576">
        <f t="shared" si="31"/>
        <v>1.66375E-2</v>
      </c>
      <c r="L62" s="576">
        <f t="shared" si="32"/>
        <v>1.66375E-2</v>
      </c>
      <c r="M62" s="577">
        <f t="shared" si="33"/>
        <v>3.3274999999999999E-2</v>
      </c>
    </row>
    <row r="63" spans="1:13" s="8" customFormat="1" ht="20.100000000000001" customHeight="1">
      <c r="A63" s="568"/>
      <c r="B63" s="569" t="s">
        <v>1275</v>
      </c>
      <c r="C63" s="585" t="s">
        <v>913</v>
      </c>
      <c r="D63" s="571" t="s">
        <v>909</v>
      </c>
      <c r="E63" s="576">
        <f>27500/1000000*2</f>
        <v>5.5E-2</v>
      </c>
      <c r="F63" s="573"/>
      <c r="G63" s="574">
        <f t="shared" si="26"/>
        <v>5.5E-2</v>
      </c>
      <c r="H63" s="576">
        <f t="shared" si="34"/>
        <v>1.5125E-2</v>
      </c>
      <c r="I63" s="573">
        <f t="shared" si="35"/>
        <v>1.5125E-2</v>
      </c>
      <c r="J63" s="575">
        <f t="shared" si="27"/>
        <v>3.0249999999999999E-2</v>
      </c>
      <c r="K63" s="576">
        <f t="shared" si="31"/>
        <v>1.66375E-2</v>
      </c>
      <c r="L63" s="576">
        <f t="shared" si="32"/>
        <v>1.66375E-2</v>
      </c>
      <c r="M63" s="577">
        <f t="shared" si="28"/>
        <v>3.3274999999999999E-2</v>
      </c>
    </row>
    <row r="64" spans="1:13" s="8" customFormat="1" ht="20.100000000000001" customHeight="1">
      <c r="A64" s="568"/>
      <c r="B64" s="1450" t="s">
        <v>1197</v>
      </c>
      <c r="C64" s="1451"/>
      <c r="D64" s="1451"/>
      <c r="E64" s="1451"/>
      <c r="F64" s="1451"/>
      <c r="G64" s="1451"/>
      <c r="H64" s="1451"/>
      <c r="I64" s="1451"/>
      <c r="J64" s="1451"/>
      <c r="K64" s="1451"/>
      <c r="L64" s="1451"/>
      <c r="M64" s="1452"/>
    </row>
    <row r="65" spans="1:13" s="8" customFormat="1" ht="20.100000000000001" customHeight="1">
      <c r="A65" s="568"/>
      <c r="B65" s="569" t="s">
        <v>1240</v>
      </c>
      <c r="C65" s="585" t="s">
        <v>913</v>
      </c>
      <c r="D65" s="571" t="s">
        <v>909</v>
      </c>
      <c r="E65" s="576">
        <f>22000/1000000*2</f>
        <v>4.3999999999999997E-2</v>
      </c>
      <c r="F65" s="573"/>
      <c r="G65" s="574">
        <f t="shared" si="26"/>
        <v>4.3999999999999997E-2</v>
      </c>
      <c r="H65" s="576">
        <f>24200/1000000/2</f>
        <v>1.21E-2</v>
      </c>
      <c r="I65" s="573">
        <f>+H65</f>
        <v>1.21E-2</v>
      </c>
      <c r="J65" s="575">
        <f t="shared" si="27"/>
        <v>2.4199999999999999E-2</v>
      </c>
      <c r="K65" s="576">
        <f>SUM(H65*1.1)</f>
        <v>1.3310000000000001E-2</v>
      </c>
      <c r="L65" s="576">
        <f>SUM(I65*1.1)</f>
        <v>1.3310000000000001E-2</v>
      </c>
      <c r="M65" s="577">
        <f t="shared" si="28"/>
        <v>2.6620000000000001E-2</v>
      </c>
    </row>
    <row r="66" spans="1:13" s="8" customFormat="1" ht="20.100000000000001" customHeight="1">
      <c r="A66" s="568"/>
      <c r="B66" s="599" t="s">
        <v>1276</v>
      </c>
      <c r="C66" s="585" t="s">
        <v>913</v>
      </c>
      <c r="D66" s="571" t="s">
        <v>909</v>
      </c>
      <c r="E66" s="576">
        <f>22000/1000000*2</f>
        <v>4.3999999999999997E-2</v>
      </c>
      <c r="F66" s="600"/>
      <c r="G66" s="574">
        <f t="shared" si="26"/>
        <v>4.3999999999999997E-2</v>
      </c>
      <c r="H66" s="576">
        <f>24200/1000000/2</f>
        <v>1.21E-2</v>
      </c>
      <c r="I66" s="573">
        <f>+H66</f>
        <v>1.21E-2</v>
      </c>
      <c r="J66" s="575">
        <f t="shared" si="27"/>
        <v>2.4199999999999999E-2</v>
      </c>
      <c r="K66" s="576">
        <f>SUM(H66*1.1)</f>
        <v>1.3310000000000001E-2</v>
      </c>
      <c r="L66" s="576">
        <f>SUM(I66*1.1)</f>
        <v>1.3310000000000001E-2</v>
      </c>
      <c r="M66" s="577">
        <f t="shared" si="28"/>
        <v>2.6620000000000001E-2</v>
      </c>
    </row>
    <row r="67" spans="1:13" s="8" customFormat="1" ht="20.100000000000001" customHeight="1">
      <c r="A67" s="568"/>
      <c r="B67" s="1450" t="s">
        <v>1203</v>
      </c>
      <c r="C67" s="1451"/>
      <c r="D67" s="1451"/>
      <c r="E67" s="1451"/>
      <c r="F67" s="1451"/>
      <c r="G67" s="1451"/>
      <c r="H67" s="1451"/>
      <c r="I67" s="1451"/>
      <c r="J67" s="1451"/>
      <c r="K67" s="1451"/>
      <c r="L67" s="1451"/>
      <c r="M67" s="1452"/>
    </row>
    <row r="68" spans="1:13" s="8" customFormat="1" ht="20.100000000000001" customHeight="1">
      <c r="A68" s="568"/>
      <c r="B68" s="569" t="s">
        <v>1241</v>
      </c>
      <c r="C68" s="578" t="s">
        <v>906</v>
      </c>
      <c r="D68" s="571" t="s">
        <v>909</v>
      </c>
      <c r="E68" s="576">
        <f>27500/1000000*2</f>
        <v>5.5E-2</v>
      </c>
      <c r="F68" s="573"/>
      <c r="G68" s="574">
        <f t="shared" si="26"/>
        <v>5.5E-2</v>
      </c>
      <c r="H68" s="576">
        <f>30250/2/1000000</f>
        <v>1.5125E-2</v>
      </c>
      <c r="I68" s="573">
        <f>+H68</f>
        <v>1.5125E-2</v>
      </c>
      <c r="J68" s="575">
        <f t="shared" si="27"/>
        <v>3.0249999999999999E-2</v>
      </c>
      <c r="K68" s="576">
        <f t="shared" ref="K68:L68" si="36">SUM(H68*1.1)</f>
        <v>1.66375E-2</v>
      </c>
      <c r="L68" s="576">
        <f t="shared" si="36"/>
        <v>1.66375E-2</v>
      </c>
      <c r="M68" s="577">
        <f t="shared" si="28"/>
        <v>3.3274999999999999E-2</v>
      </c>
    </row>
    <row r="69" spans="1:13" s="8" customFormat="1" ht="20.100000000000001" customHeight="1">
      <c r="A69" s="568"/>
      <c r="B69" s="569" t="s">
        <v>1242</v>
      </c>
      <c r="C69" s="578" t="s">
        <v>906</v>
      </c>
      <c r="D69" s="571" t="s">
        <v>909</v>
      </c>
      <c r="E69" s="576">
        <f>27500/1000000*2</f>
        <v>5.5E-2</v>
      </c>
      <c r="F69" s="573"/>
      <c r="G69" s="574">
        <f t="shared" si="26"/>
        <v>5.5E-2</v>
      </c>
      <c r="H69" s="576">
        <f>30250/2/1000000</f>
        <v>1.5125E-2</v>
      </c>
      <c r="I69" s="573">
        <f>+H69</f>
        <v>1.5125E-2</v>
      </c>
      <c r="J69" s="575">
        <f t="shared" si="27"/>
        <v>3.0249999999999999E-2</v>
      </c>
      <c r="K69" s="576">
        <f t="shared" ref="K69:K78" si="37">SUM(H69*1.1)</f>
        <v>1.66375E-2</v>
      </c>
      <c r="L69" s="576">
        <f t="shared" ref="L69:L78" si="38">SUM(I69*1.1)</f>
        <v>1.66375E-2</v>
      </c>
      <c r="M69" s="577">
        <f t="shared" si="28"/>
        <v>3.3274999999999999E-2</v>
      </c>
    </row>
    <row r="70" spans="1:13" s="8" customFormat="1" ht="20.100000000000001" customHeight="1">
      <c r="A70" s="568"/>
      <c r="B70" s="569" t="s">
        <v>1243</v>
      </c>
      <c r="C70" s="578" t="s">
        <v>906</v>
      </c>
      <c r="D70" s="571" t="s">
        <v>909</v>
      </c>
      <c r="E70" s="576">
        <f>28600/1000000*2</f>
        <v>5.7200000000000001E-2</v>
      </c>
      <c r="F70" s="573"/>
      <c r="G70" s="574">
        <f t="shared" si="26"/>
        <v>5.7200000000000001E-2</v>
      </c>
      <c r="H70" s="576">
        <f>31500/2/1000000</f>
        <v>1.575E-2</v>
      </c>
      <c r="I70" s="573">
        <f t="shared" ref="I70:I78" si="39">+H70</f>
        <v>1.575E-2</v>
      </c>
      <c r="J70" s="575">
        <f t="shared" si="27"/>
        <v>3.15E-2</v>
      </c>
      <c r="K70" s="576">
        <f t="shared" si="37"/>
        <v>1.7325E-2</v>
      </c>
      <c r="L70" s="576">
        <f t="shared" si="38"/>
        <v>1.7325E-2</v>
      </c>
      <c r="M70" s="577">
        <f t="shared" si="28"/>
        <v>3.465E-2</v>
      </c>
    </row>
    <row r="71" spans="1:13" s="8" customFormat="1" ht="20.100000000000001" customHeight="1">
      <c r="A71" s="568"/>
      <c r="B71" s="569" t="s">
        <v>1244</v>
      </c>
      <c r="C71" s="578" t="s">
        <v>906</v>
      </c>
      <c r="D71" s="571" t="s">
        <v>909</v>
      </c>
      <c r="E71" s="576">
        <f t="shared" ref="E71:E78" si="40">27500/1000000*2</f>
        <v>5.5E-2</v>
      </c>
      <c r="F71" s="573"/>
      <c r="G71" s="574">
        <f t="shared" si="26"/>
        <v>5.5E-2</v>
      </c>
      <c r="H71" s="576">
        <f>30250/2/1000000</f>
        <v>1.5125E-2</v>
      </c>
      <c r="I71" s="573">
        <f>+H71</f>
        <v>1.5125E-2</v>
      </c>
      <c r="J71" s="575">
        <f t="shared" si="27"/>
        <v>3.0249999999999999E-2</v>
      </c>
      <c r="K71" s="576">
        <f t="shared" si="37"/>
        <v>1.66375E-2</v>
      </c>
      <c r="L71" s="576">
        <f t="shared" si="38"/>
        <v>1.66375E-2</v>
      </c>
      <c r="M71" s="577">
        <f t="shared" si="28"/>
        <v>3.3274999999999999E-2</v>
      </c>
    </row>
    <row r="72" spans="1:13" s="8" customFormat="1" ht="20.100000000000001" customHeight="1">
      <c r="A72" s="568"/>
      <c r="B72" s="569" t="s">
        <v>1245</v>
      </c>
      <c r="C72" s="578" t="s">
        <v>906</v>
      </c>
      <c r="D72" s="571" t="s">
        <v>909</v>
      </c>
      <c r="E72" s="576">
        <f t="shared" si="40"/>
        <v>5.5E-2</v>
      </c>
      <c r="F72" s="573"/>
      <c r="G72" s="574">
        <f t="shared" si="26"/>
        <v>5.5E-2</v>
      </c>
      <c r="H72" s="576">
        <f>30250/2/1000000</f>
        <v>1.5125E-2</v>
      </c>
      <c r="I72" s="573">
        <f>+H72</f>
        <v>1.5125E-2</v>
      </c>
      <c r="J72" s="575">
        <f t="shared" si="27"/>
        <v>3.0249999999999999E-2</v>
      </c>
      <c r="K72" s="576">
        <f t="shared" si="37"/>
        <v>1.66375E-2</v>
      </c>
      <c r="L72" s="576">
        <f t="shared" si="38"/>
        <v>1.66375E-2</v>
      </c>
      <c r="M72" s="577">
        <f t="shared" si="28"/>
        <v>3.3274999999999999E-2</v>
      </c>
    </row>
    <row r="73" spans="1:13" s="8" customFormat="1" ht="20.100000000000001" customHeight="1">
      <c r="A73" s="568"/>
      <c r="B73" s="569" t="s">
        <v>1246</v>
      </c>
      <c r="C73" s="578" t="s">
        <v>906</v>
      </c>
      <c r="D73" s="571" t="s">
        <v>909</v>
      </c>
      <c r="E73" s="576">
        <f>44000/1000000</f>
        <v>4.3999999999999997E-2</v>
      </c>
      <c r="F73" s="573"/>
      <c r="G73" s="574">
        <f t="shared" si="26"/>
        <v>4.3999999999999997E-2</v>
      </c>
      <c r="H73" s="576">
        <f>30250/2/1000000</f>
        <v>1.5125E-2</v>
      </c>
      <c r="I73" s="573">
        <f>+H73</f>
        <v>1.5125E-2</v>
      </c>
      <c r="J73" s="575">
        <f t="shared" si="27"/>
        <v>3.0249999999999999E-2</v>
      </c>
      <c r="K73" s="576">
        <f t="shared" si="37"/>
        <v>1.66375E-2</v>
      </c>
      <c r="L73" s="576">
        <f t="shared" si="38"/>
        <v>1.66375E-2</v>
      </c>
      <c r="M73" s="577">
        <f t="shared" si="28"/>
        <v>3.3274999999999999E-2</v>
      </c>
    </row>
    <row r="74" spans="1:13" s="8" customFormat="1" ht="20.100000000000001" customHeight="1">
      <c r="A74" s="568"/>
      <c r="B74" s="569" t="s">
        <v>1247</v>
      </c>
      <c r="C74" s="578" t="s">
        <v>906</v>
      </c>
      <c r="D74" s="571" t="s">
        <v>909</v>
      </c>
      <c r="E74" s="576">
        <f t="shared" si="40"/>
        <v>5.5E-2</v>
      </c>
      <c r="F74" s="573"/>
      <c r="G74" s="574">
        <f t="shared" si="26"/>
        <v>5.5E-2</v>
      </c>
      <c r="H74" s="576">
        <f>48400/2/1000000</f>
        <v>2.4199999999999999E-2</v>
      </c>
      <c r="I74" s="573">
        <f t="shared" si="39"/>
        <v>2.4199999999999999E-2</v>
      </c>
      <c r="J74" s="575">
        <f t="shared" si="27"/>
        <v>4.8399999999999999E-2</v>
      </c>
      <c r="K74" s="576">
        <f t="shared" si="37"/>
        <v>2.6620000000000001E-2</v>
      </c>
      <c r="L74" s="576">
        <f t="shared" si="38"/>
        <v>2.6620000000000001E-2</v>
      </c>
      <c r="M74" s="577">
        <f t="shared" si="28"/>
        <v>5.3240000000000003E-2</v>
      </c>
    </row>
    <row r="75" spans="1:13" s="8" customFormat="1" ht="20.100000000000001" customHeight="1">
      <c r="A75" s="568"/>
      <c r="B75" s="569" t="s">
        <v>1248</v>
      </c>
      <c r="C75" s="578" t="s">
        <v>906</v>
      </c>
      <c r="D75" s="571" t="s">
        <v>909</v>
      </c>
      <c r="E75" s="576">
        <f t="shared" si="40"/>
        <v>5.5E-2</v>
      </c>
      <c r="F75" s="573"/>
      <c r="G75" s="574">
        <f t="shared" si="26"/>
        <v>5.5E-2</v>
      </c>
      <c r="H75" s="576">
        <f>30250/2/1000000</f>
        <v>1.5125E-2</v>
      </c>
      <c r="I75" s="573">
        <f t="shared" si="39"/>
        <v>1.5125E-2</v>
      </c>
      <c r="J75" s="575">
        <f t="shared" si="27"/>
        <v>3.0249999999999999E-2</v>
      </c>
      <c r="K75" s="576">
        <f t="shared" si="37"/>
        <v>1.66375E-2</v>
      </c>
      <c r="L75" s="576">
        <f t="shared" si="38"/>
        <v>1.66375E-2</v>
      </c>
      <c r="M75" s="577">
        <f t="shared" si="28"/>
        <v>3.3274999999999999E-2</v>
      </c>
    </row>
    <row r="76" spans="1:13" s="8" customFormat="1" ht="20.100000000000001" customHeight="1">
      <c r="A76" s="568"/>
      <c r="B76" s="569" t="s">
        <v>1249</v>
      </c>
      <c r="C76" s="578" t="s">
        <v>906</v>
      </c>
      <c r="D76" s="571" t="s">
        <v>909</v>
      </c>
      <c r="E76" s="576">
        <f>49500/1000000</f>
        <v>4.9500000000000002E-2</v>
      </c>
      <c r="F76" s="573"/>
      <c r="G76" s="574">
        <f t="shared" si="26"/>
        <v>4.9500000000000002E-2</v>
      </c>
      <c r="H76" s="576">
        <f>54450/2/1000000</f>
        <v>2.7224999999999999E-2</v>
      </c>
      <c r="I76" s="573">
        <f t="shared" si="39"/>
        <v>2.7224999999999999E-2</v>
      </c>
      <c r="J76" s="575">
        <f t="shared" si="27"/>
        <v>5.4449999999999998E-2</v>
      </c>
      <c r="K76" s="576">
        <f t="shared" si="37"/>
        <v>2.9947500000000002E-2</v>
      </c>
      <c r="L76" s="576">
        <f t="shared" si="38"/>
        <v>2.9947500000000002E-2</v>
      </c>
      <c r="M76" s="577">
        <f t="shared" si="28"/>
        <v>5.9895000000000004E-2</v>
      </c>
    </row>
    <row r="77" spans="1:13" s="8" customFormat="1" ht="20.100000000000001" customHeight="1">
      <c r="A77" s="568"/>
      <c r="B77" s="569" t="s">
        <v>1250</v>
      </c>
      <c r="C77" s="578" t="s">
        <v>906</v>
      </c>
      <c r="D77" s="571" t="s">
        <v>909</v>
      </c>
      <c r="E77" s="576">
        <f t="shared" si="40"/>
        <v>5.5E-2</v>
      </c>
      <c r="F77" s="573"/>
      <c r="G77" s="574">
        <f t="shared" si="26"/>
        <v>5.5E-2</v>
      </c>
      <c r="H77" s="576">
        <f>30250/2/1000000</f>
        <v>1.5125E-2</v>
      </c>
      <c r="I77" s="573">
        <f t="shared" si="39"/>
        <v>1.5125E-2</v>
      </c>
      <c r="J77" s="575">
        <f t="shared" si="27"/>
        <v>3.0249999999999999E-2</v>
      </c>
      <c r="K77" s="576">
        <f t="shared" si="37"/>
        <v>1.66375E-2</v>
      </c>
      <c r="L77" s="576">
        <f t="shared" si="38"/>
        <v>1.66375E-2</v>
      </c>
      <c r="M77" s="577">
        <f t="shared" si="28"/>
        <v>3.3274999999999999E-2</v>
      </c>
    </row>
    <row r="78" spans="1:13" s="8" customFormat="1" ht="20.100000000000001" customHeight="1">
      <c r="A78" s="568"/>
      <c r="B78" s="569" t="s">
        <v>1251</v>
      </c>
      <c r="C78" s="578" t="s">
        <v>906</v>
      </c>
      <c r="D78" s="571" t="s">
        <v>909</v>
      </c>
      <c r="E78" s="576">
        <f t="shared" si="40"/>
        <v>5.5E-2</v>
      </c>
      <c r="F78" s="573"/>
      <c r="G78" s="574">
        <f t="shared" si="26"/>
        <v>5.5E-2</v>
      </c>
      <c r="H78" s="576">
        <f>30250/2/1000000</f>
        <v>1.5125E-2</v>
      </c>
      <c r="I78" s="573">
        <f t="shared" si="39"/>
        <v>1.5125E-2</v>
      </c>
      <c r="J78" s="575">
        <f t="shared" si="27"/>
        <v>3.0249999999999999E-2</v>
      </c>
      <c r="K78" s="576">
        <f t="shared" si="37"/>
        <v>1.66375E-2</v>
      </c>
      <c r="L78" s="576">
        <f t="shared" si="38"/>
        <v>1.66375E-2</v>
      </c>
      <c r="M78" s="577">
        <f t="shared" si="28"/>
        <v>3.3274999999999999E-2</v>
      </c>
    </row>
    <row r="79" spans="1:13" s="8" customFormat="1" ht="20.100000000000001" customHeight="1">
      <c r="A79" s="568"/>
      <c r="B79" s="1450" t="s">
        <v>1211</v>
      </c>
      <c r="C79" s="1451"/>
      <c r="D79" s="1451"/>
      <c r="E79" s="1451"/>
      <c r="F79" s="1451"/>
      <c r="G79" s="1451"/>
      <c r="H79" s="1451"/>
      <c r="I79" s="1451"/>
      <c r="J79" s="1451"/>
      <c r="K79" s="1451"/>
      <c r="L79" s="1451"/>
      <c r="M79" s="1452"/>
    </row>
    <row r="80" spans="1:13" s="8" customFormat="1" ht="20.100000000000001" customHeight="1">
      <c r="A80" s="568"/>
      <c r="B80" s="569" t="s">
        <v>1252</v>
      </c>
      <c r="C80" s="578" t="s">
        <v>904</v>
      </c>
      <c r="D80" s="571" t="s">
        <v>909</v>
      </c>
      <c r="E80" s="576">
        <f>33000/1000000*2</f>
        <v>6.6000000000000003E-2</v>
      </c>
      <c r="F80" s="573"/>
      <c r="G80" s="574">
        <f t="shared" si="26"/>
        <v>6.6000000000000003E-2</v>
      </c>
      <c r="H80" s="576">
        <f>36300/2/1000000</f>
        <v>1.8149999999999999E-2</v>
      </c>
      <c r="I80" s="573">
        <f>+H80</f>
        <v>1.8149999999999999E-2</v>
      </c>
      <c r="J80" s="575">
        <f t="shared" si="27"/>
        <v>3.6299999999999999E-2</v>
      </c>
      <c r="K80" s="576">
        <f>SUM(H80*1.1)</f>
        <v>1.9965E-2</v>
      </c>
      <c r="L80" s="576">
        <f>SUM(I80*1.1)</f>
        <v>1.9965E-2</v>
      </c>
      <c r="M80" s="577">
        <f t="shared" si="28"/>
        <v>3.993E-2</v>
      </c>
    </row>
    <row r="81" spans="1:13" s="8" customFormat="1" ht="20.100000000000001" customHeight="1">
      <c r="A81" s="568"/>
      <c r="B81" s="569" t="s">
        <v>1253</v>
      </c>
      <c r="C81" s="578" t="s">
        <v>904</v>
      </c>
      <c r="D81" s="571" t="s">
        <v>909</v>
      </c>
      <c r="E81" s="576">
        <f>29700/1000000*2</f>
        <v>5.9400000000000001E-2</v>
      </c>
      <c r="F81" s="573"/>
      <c r="G81" s="574">
        <f t="shared" si="26"/>
        <v>5.9400000000000001E-2</v>
      </c>
      <c r="H81" s="576">
        <f>32700/2/1000000</f>
        <v>1.635E-2</v>
      </c>
      <c r="I81" s="573">
        <f t="shared" ref="I81:I83" si="41">+H81</f>
        <v>1.635E-2</v>
      </c>
      <c r="J81" s="575">
        <f t="shared" si="27"/>
        <v>3.27E-2</v>
      </c>
      <c r="K81" s="576">
        <f t="shared" ref="K81:K83" si="42">SUM(H81*1.1)</f>
        <v>1.7985000000000001E-2</v>
      </c>
      <c r="L81" s="576">
        <f t="shared" ref="L81:L83" si="43">SUM(I81*1.1)</f>
        <v>1.7985000000000001E-2</v>
      </c>
      <c r="M81" s="577">
        <f t="shared" si="28"/>
        <v>3.5970000000000002E-2</v>
      </c>
    </row>
    <row r="82" spans="1:13" s="8" customFormat="1" ht="20.100000000000001" customHeight="1">
      <c r="A82" s="568"/>
      <c r="B82" s="569" t="s">
        <v>1254</v>
      </c>
      <c r="C82" s="578" t="s">
        <v>904</v>
      </c>
      <c r="D82" s="571" t="s">
        <v>909</v>
      </c>
      <c r="E82" s="576">
        <f>54000/1000000</f>
        <v>5.3999999999999999E-2</v>
      </c>
      <c r="F82" s="573"/>
      <c r="G82" s="574">
        <f t="shared" si="26"/>
        <v>5.3999999999999999E-2</v>
      </c>
      <c r="H82" s="576">
        <f>33250/2/1000000</f>
        <v>1.6625000000000001E-2</v>
      </c>
      <c r="I82" s="573">
        <f t="shared" si="41"/>
        <v>1.6625000000000001E-2</v>
      </c>
      <c r="J82" s="575">
        <f t="shared" si="27"/>
        <v>3.3250000000000002E-2</v>
      </c>
      <c r="K82" s="576">
        <f t="shared" si="42"/>
        <v>1.8287500000000002E-2</v>
      </c>
      <c r="L82" s="576">
        <f t="shared" si="43"/>
        <v>1.8287500000000002E-2</v>
      </c>
      <c r="M82" s="577">
        <f t="shared" si="28"/>
        <v>3.6575000000000003E-2</v>
      </c>
    </row>
    <row r="83" spans="1:13" s="8" customFormat="1" ht="20.100000000000001" customHeight="1">
      <c r="A83" s="568"/>
      <c r="B83" s="569" t="s">
        <v>1255</v>
      </c>
      <c r="C83" s="578" t="s">
        <v>904</v>
      </c>
      <c r="D83" s="571" t="s">
        <v>909</v>
      </c>
      <c r="E83" s="576">
        <f>50000/1000000</f>
        <v>0.05</v>
      </c>
      <c r="F83" s="573"/>
      <c r="G83" s="574">
        <f t="shared" si="26"/>
        <v>0.05</v>
      </c>
      <c r="H83" s="576">
        <f>33250/2/1000000</f>
        <v>1.6625000000000001E-2</v>
      </c>
      <c r="I83" s="573">
        <f t="shared" si="41"/>
        <v>1.6625000000000001E-2</v>
      </c>
      <c r="J83" s="575">
        <f t="shared" si="27"/>
        <v>3.3250000000000002E-2</v>
      </c>
      <c r="K83" s="576">
        <f t="shared" si="42"/>
        <v>1.8287500000000002E-2</v>
      </c>
      <c r="L83" s="576">
        <f t="shared" si="43"/>
        <v>1.8287500000000002E-2</v>
      </c>
      <c r="M83" s="577">
        <f t="shared" si="28"/>
        <v>3.6575000000000003E-2</v>
      </c>
    </row>
    <row r="84" spans="1:13" s="8" customFormat="1" ht="20.100000000000001" customHeight="1">
      <c r="A84" s="568"/>
      <c r="B84" s="1450" t="s">
        <v>1219</v>
      </c>
      <c r="C84" s="1451"/>
      <c r="D84" s="1451"/>
      <c r="E84" s="1451"/>
      <c r="F84" s="1451"/>
      <c r="G84" s="1451"/>
      <c r="H84" s="1451"/>
      <c r="I84" s="1451"/>
      <c r="J84" s="1451"/>
      <c r="K84" s="1451"/>
      <c r="L84" s="1451"/>
      <c r="M84" s="1452"/>
    </row>
    <row r="85" spans="1:13" s="8" customFormat="1" ht="20.100000000000001" customHeight="1">
      <c r="A85" s="568"/>
      <c r="B85" s="569" t="s">
        <v>1256</v>
      </c>
      <c r="C85" s="578" t="s">
        <v>904</v>
      </c>
      <c r="D85" s="571" t="s">
        <v>909</v>
      </c>
      <c r="E85" s="576">
        <f>28600/1000000*2</f>
        <v>5.7200000000000001E-2</v>
      </c>
      <c r="F85" s="573"/>
      <c r="G85" s="574">
        <f t="shared" si="26"/>
        <v>5.7200000000000001E-2</v>
      </c>
      <c r="H85" s="576">
        <f>31500/2/1000000</f>
        <v>1.575E-2</v>
      </c>
      <c r="I85" s="573">
        <f>+H85</f>
        <v>1.575E-2</v>
      </c>
      <c r="J85" s="575">
        <f t="shared" si="27"/>
        <v>3.15E-2</v>
      </c>
      <c r="K85" s="576">
        <f>SUM(H85*1.1)</f>
        <v>1.7325E-2</v>
      </c>
      <c r="L85" s="576">
        <f>SUM(I85*1.1)</f>
        <v>1.7325E-2</v>
      </c>
      <c r="M85" s="577">
        <f t="shared" si="28"/>
        <v>3.465E-2</v>
      </c>
    </row>
    <row r="86" spans="1:13" s="8" customFormat="1" ht="20.100000000000001" customHeight="1">
      <c r="A86" s="568"/>
      <c r="B86" s="569" t="s">
        <v>1257</v>
      </c>
      <c r="C86" s="578" t="s">
        <v>904</v>
      </c>
      <c r="D86" s="571" t="s">
        <v>909</v>
      </c>
      <c r="E86" s="576">
        <f>28600/1000000*2</f>
        <v>5.7200000000000001E-2</v>
      </c>
      <c r="F86" s="573"/>
      <c r="G86" s="574">
        <f t="shared" si="26"/>
        <v>5.7200000000000001E-2</v>
      </c>
      <c r="H86" s="576">
        <f>31500/2/1000000</f>
        <v>1.575E-2</v>
      </c>
      <c r="I86" s="573">
        <f>+H86</f>
        <v>1.575E-2</v>
      </c>
      <c r="J86" s="575">
        <f t="shared" si="27"/>
        <v>3.15E-2</v>
      </c>
      <c r="K86" s="576">
        <f t="shared" ref="K86:K89" si="44">SUM(H86*1.1)</f>
        <v>1.7325E-2</v>
      </c>
      <c r="L86" s="576">
        <f t="shared" ref="L86:L89" si="45">SUM(I86*1.1)</f>
        <v>1.7325E-2</v>
      </c>
      <c r="M86" s="577">
        <f t="shared" si="28"/>
        <v>3.465E-2</v>
      </c>
    </row>
    <row r="87" spans="1:13" s="8" customFormat="1" ht="20.100000000000001" customHeight="1">
      <c r="A87" s="568"/>
      <c r="B87" s="569" t="s">
        <v>1258</v>
      </c>
      <c r="C87" s="578" t="s">
        <v>904</v>
      </c>
      <c r="D87" s="571" t="s">
        <v>909</v>
      </c>
      <c r="E87" s="576">
        <f>27500/1000000*2</f>
        <v>5.5E-2</v>
      </c>
      <c r="F87" s="573"/>
      <c r="G87" s="574">
        <f t="shared" si="26"/>
        <v>5.5E-2</v>
      </c>
      <c r="H87" s="576">
        <f>30250/2/1000000</f>
        <v>1.5125E-2</v>
      </c>
      <c r="I87" s="573">
        <f>+H87</f>
        <v>1.5125E-2</v>
      </c>
      <c r="J87" s="575">
        <f t="shared" si="27"/>
        <v>3.0249999999999999E-2</v>
      </c>
      <c r="K87" s="576">
        <f t="shared" si="44"/>
        <v>1.66375E-2</v>
      </c>
      <c r="L87" s="576">
        <f t="shared" si="45"/>
        <v>1.66375E-2</v>
      </c>
      <c r="M87" s="577">
        <f t="shared" si="28"/>
        <v>3.3274999999999999E-2</v>
      </c>
    </row>
    <row r="88" spans="1:13" s="8" customFormat="1" ht="20.100000000000001" customHeight="1">
      <c r="A88" s="568"/>
      <c r="B88" s="569" t="s">
        <v>1259</v>
      </c>
      <c r="C88" s="578" t="s">
        <v>904</v>
      </c>
      <c r="D88" s="571" t="s">
        <v>909</v>
      </c>
      <c r="E88" s="576">
        <f>27500/1000000*2</f>
        <v>5.5E-2</v>
      </c>
      <c r="F88" s="573"/>
      <c r="G88" s="574">
        <f t="shared" si="26"/>
        <v>5.5E-2</v>
      </c>
      <c r="H88" s="576">
        <f>30250/2/1000000</f>
        <v>1.5125E-2</v>
      </c>
      <c r="I88" s="573">
        <f>+H88</f>
        <v>1.5125E-2</v>
      </c>
      <c r="J88" s="575">
        <f t="shared" si="27"/>
        <v>3.0249999999999999E-2</v>
      </c>
      <c r="K88" s="576">
        <f t="shared" si="44"/>
        <v>1.66375E-2</v>
      </c>
      <c r="L88" s="576">
        <f t="shared" si="45"/>
        <v>1.66375E-2</v>
      </c>
      <c r="M88" s="577">
        <f t="shared" si="28"/>
        <v>3.3274999999999999E-2</v>
      </c>
    </row>
    <row r="89" spans="1:13" s="8" customFormat="1" ht="20.100000000000001" customHeight="1">
      <c r="A89" s="568"/>
      <c r="B89" s="569" t="s">
        <v>1260</v>
      </c>
      <c r="C89" s="578" t="s">
        <v>904</v>
      </c>
      <c r="D89" s="571" t="s">
        <v>909</v>
      </c>
      <c r="E89" s="576">
        <f>27500/1000000*2</f>
        <v>5.5E-2</v>
      </c>
      <c r="F89" s="573"/>
      <c r="G89" s="574">
        <f t="shared" si="26"/>
        <v>5.5E-2</v>
      </c>
      <c r="H89" s="576">
        <f>30250/2/1000000</f>
        <v>1.5125E-2</v>
      </c>
      <c r="I89" s="573">
        <f>+H89</f>
        <v>1.5125E-2</v>
      </c>
      <c r="J89" s="575">
        <f t="shared" si="27"/>
        <v>3.0249999999999999E-2</v>
      </c>
      <c r="K89" s="576">
        <f t="shared" si="44"/>
        <v>1.66375E-2</v>
      </c>
      <c r="L89" s="576">
        <f t="shared" si="45"/>
        <v>1.66375E-2</v>
      </c>
      <c r="M89" s="577">
        <f t="shared" si="28"/>
        <v>3.3274999999999999E-2</v>
      </c>
    </row>
    <row r="90" spans="1:13" s="8" customFormat="1" ht="20.100000000000001" customHeight="1">
      <c r="A90" s="568"/>
      <c r="B90" s="586" t="s">
        <v>1225</v>
      </c>
      <c r="C90" s="578"/>
      <c r="D90" s="571"/>
      <c r="E90" s="576"/>
      <c r="F90" s="573"/>
      <c r="G90" s="574">
        <f t="shared" si="26"/>
        <v>0</v>
      </c>
      <c r="H90" s="576"/>
      <c r="I90" s="573"/>
      <c r="J90" s="575">
        <f t="shared" si="27"/>
        <v>0</v>
      </c>
      <c r="K90" s="576"/>
      <c r="L90" s="573"/>
      <c r="M90" s="577">
        <f t="shared" si="28"/>
        <v>0</v>
      </c>
    </row>
    <row r="91" spans="1:13" s="8" customFormat="1" ht="20.100000000000001" customHeight="1">
      <c r="A91" s="568"/>
      <c r="B91" s="569" t="s">
        <v>1261</v>
      </c>
      <c r="C91" s="569" t="s">
        <v>910</v>
      </c>
      <c r="D91" s="571" t="s">
        <v>909</v>
      </c>
      <c r="E91" s="576">
        <f>28600/1000000*2</f>
        <v>5.7200000000000001E-2</v>
      </c>
      <c r="F91" s="573"/>
      <c r="G91" s="574">
        <f t="shared" si="26"/>
        <v>5.7200000000000001E-2</v>
      </c>
      <c r="H91" s="576">
        <f>31500/2/1000000</f>
        <v>1.575E-2</v>
      </c>
      <c r="I91" s="573">
        <f t="shared" ref="I91:I102" si="46">+H91</f>
        <v>1.575E-2</v>
      </c>
      <c r="J91" s="575">
        <f t="shared" si="27"/>
        <v>3.15E-2</v>
      </c>
      <c r="K91" s="576">
        <f t="shared" ref="K91:L105" si="47">SUM(H91*1.1)</f>
        <v>1.7325E-2</v>
      </c>
      <c r="L91" s="576">
        <f t="shared" si="47"/>
        <v>1.7325E-2</v>
      </c>
      <c r="M91" s="577">
        <f t="shared" si="28"/>
        <v>3.465E-2</v>
      </c>
    </row>
    <row r="92" spans="1:13" s="8" customFormat="1" ht="20.100000000000001" customHeight="1">
      <c r="A92" s="568"/>
      <c r="B92" s="569" t="s">
        <v>1230</v>
      </c>
      <c r="C92" s="569" t="s">
        <v>910</v>
      </c>
      <c r="D92" s="571" t="s">
        <v>909</v>
      </c>
      <c r="E92" s="576">
        <f>28600/1000000*2</f>
        <v>5.7200000000000001E-2</v>
      </c>
      <c r="F92" s="573"/>
      <c r="G92" s="574"/>
      <c r="H92" s="576">
        <f>36300/2/1000000</f>
        <v>1.8149999999999999E-2</v>
      </c>
      <c r="I92" s="573">
        <f t="shared" si="46"/>
        <v>1.8149999999999999E-2</v>
      </c>
      <c r="J92" s="575">
        <f t="shared" si="27"/>
        <v>3.6299999999999999E-2</v>
      </c>
      <c r="K92" s="576">
        <f t="shared" ref="K92:K102" si="48">SUM(H92*1.1)</f>
        <v>1.9965E-2</v>
      </c>
      <c r="L92" s="576">
        <f t="shared" ref="L92:L102" si="49">SUM(I92*1.1)</f>
        <v>1.9965E-2</v>
      </c>
      <c r="M92" s="577"/>
    </row>
    <row r="93" spans="1:13" s="8" customFormat="1" ht="20.100000000000001" customHeight="1">
      <c r="A93" s="568"/>
      <c r="B93" s="569" t="s">
        <v>1262</v>
      </c>
      <c r="C93" s="569" t="s">
        <v>910</v>
      </c>
      <c r="D93" s="571" t="s">
        <v>909</v>
      </c>
      <c r="E93" s="576">
        <f>33000/1000000</f>
        <v>3.3000000000000002E-2</v>
      </c>
      <c r="F93" s="573"/>
      <c r="G93" s="574">
        <f t="shared" si="26"/>
        <v>3.3000000000000002E-2</v>
      </c>
      <c r="H93" s="576">
        <f>36300/2/1000000</f>
        <v>1.8149999999999999E-2</v>
      </c>
      <c r="I93" s="573">
        <f t="shared" si="46"/>
        <v>1.8149999999999999E-2</v>
      </c>
      <c r="J93" s="575">
        <f t="shared" si="27"/>
        <v>3.6299999999999999E-2</v>
      </c>
      <c r="K93" s="576">
        <f t="shared" si="48"/>
        <v>1.9965E-2</v>
      </c>
      <c r="L93" s="576">
        <f t="shared" si="49"/>
        <v>1.9965E-2</v>
      </c>
      <c r="M93" s="577">
        <f t="shared" si="28"/>
        <v>3.993E-2</v>
      </c>
    </row>
    <row r="94" spans="1:13" s="8" customFormat="1" ht="20.100000000000001" customHeight="1">
      <c r="A94" s="568"/>
      <c r="B94" s="569" t="s">
        <v>1263</v>
      </c>
      <c r="C94" s="569" t="s">
        <v>910</v>
      </c>
      <c r="D94" s="571" t="s">
        <v>909</v>
      </c>
      <c r="E94" s="576">
        <f>28600/1000000*2</f>
        <v>5.7200000000000001E-2</v>
      </c>
      <c r="F94" s="573"/>
      <c r="G94" s="574">
        <f>E94+F94</f>
        <v>5.7200000000000001E-2</v>
      </c>
      <c r="H94" s="576">
        <f>31500/2/1000000</f>
        <v>1.575E-2</v>
      </c>
      <c r="I94" s="573">
        <f t="shared" si="46"/>
        <v>1.575E-2</v>
      </c>
      <c r="J94" s="575">
        <f>H94+I94</f>
        <v>3.15E-2</v>
      </c>
      <c r="K94" s="576">
        <f t="shared" si="48"/>
        <v>1.7325E-2</v>
      </c>
      <c r="L94" s="576">
        <f t="shared" si="49"/>
        <v>1.7325E-2</v>
      </c>
      <c r="M94" s="577">
        <f>K94+L94</f>
        <v>3.465E-2</v>
      </c>
    </row>
    <row r="95" spans="1:13" s="8" customFormat="1" ht="20.100000000000001" customHeight="1">
      <c r="A95" s="568">
        <v>29</v>
      </c>
      <c r="B95" s="569" t="s">
        <v>1264</v>
      </c>
      <c r="C95" s="569" t="s">
        <v>910</v>
      </c>
      <c r="D95" s="571" t="s">
        <v>909</v>
      </c>
      <c r="E95" s="576">
        <f>26400/1000000*2</f>
        <v>5.28E-2</v>
      </c>
      <c r="F95" s="587"/>
      <c r="G95" s="574">
        <f>E95+F95</f>
        <v>5.28E-2</v>
      </c>
      <c r="H95" s="576">
        <f>29050/2/1000000</f>
        <v>1.4525E-2</v>
      </c>
      <c r="I95" s="573">
        <f t="shared" si="46"/>
        <v>1.4525E-2</v>
      </c>
      <c r="J95" s="575">
        <f>H95+I95</f>
        <v>2.9049999999999999E-2</v>
      </c>
      <c r="K95" s="576">
        <f t="shared" si="48"/>
        <v>1.5977500000000002E-2</v>
      </c>
      <c r="L95" s="576">
        <f t="shared" si="49"/>
        <v>1.5977500000000002E-2</v>
      </c>
      <c r="M95" s="577">
        <f>K95+L95</f>
        <v>3.1955000000000004E-2</v>
      </c>
    </row>
    <row r="96" spans="1:13" s="8" customFormat="1" ht="20.100000000000001" customHeight="1">
      <c r="A96" s="588"/>
      <c r="B96" s="569" t="s">
        <v>1265</v>
      </c>
      <c r="C96" s="569" t="s">
        <v>910</v>
      </c>
      <c r="D96" s="571" t="s">
        <v>909</v>
      </c>
      <c r="E96" s="576">
        <f>26400/1000000*2</f>
        <v>5.28E-2</v>
      </c>
      <c r="F96" s="587"/>
      <c r="G96" s="574">
        <f>E96+F96</f>
        <v>5.28E-2</v>
      </c>
      <c r="H96" s="576">
        <f>29050/2/1000000</f>
        <v>1.4525E-2</v>
      </c>
      <c r="I96" s="573">
        <f t="shared" si="46"/>
        <v>1.4525E-2</v>
      </c>
      <c r="J96" s="575">
        <f>H96+I96</f>
        <v>2.9049999999999999E-2</v>
      </c>
      <c r="K96" s="576">
        <f t="shared" si="48"/>
        <v>1.5977500000000002E-2</v>
      </c>
      <c r="L96" s="576">
        <f t="shared" si="49"/>
        <v>1.5977500000000002E-2</v>
      </c>
      <c r="M96" s="577">
        <f>K96+L96</f>
        <v>3.1955000000000004E-2</v>
      </c>
    </row>
    <row r="97" spans="1:13" s="8" customFormat="1" ht="20.100000000000001" customHeight="1">
      <c r="A97" s="588"/>
      <c r="B97" s="589" t="s">
        <v>1266</v>
      </c>
      <c r="C97" s="569" t="s">
        <v>910</v>
      </c>
      <c r="D97" s="571" t="s">
        <v>909</v>
      </c>
      <c r="E97" s="576">
        <f>27500/1000000*2</f>
        <v>5.5E-2</v>
      </c>
      <c r="F97" s="587"/>
      <c r="G97" s="574">
        <f t="shared" si="26"/>
        <v>5.5E-2</v>
      </c>
      <c r="H97" s="576">
        <f>30250/2/1000000</f>
        <v>1.5125E-2</v>
      </c>
      <c r="I97" s="573">
        <f t="shared" si="46"/>
        <v>1.5125E-2</v>
      </c>
      <c r="J97" s="575">
        <f t="shared" si="27"/>
        <v>3.0249999999999999E-2</v>
      </c>
      <c r="K97" s="576">
        <f t="shared" si="48"/>
        <v>1.66375E-2</v>
      </c>
      <c r="L97" s="576">
        <f t="shared" si="49"/>
        <v>1.66375E-2</v>
      </c>
      <c r="M97" s="577">
        <f t="shared" si="28"/>
        <v>3.3274999999999999E-2</v>
      </c>
    </row>
    <row r="98" spans="1:13" s="8" customFormat="1" ht="20.100000000000001" customHeight="1">
      <c r="A98" s="588"/>
      <c r="B98" s="589" t="s">
        <v>1267</v>
      </c>
      <c r="C98" s="569" t="s">
        <v>910</v>
      </c>
      <c r="D98" s="571" t="s">
        <v>909</v>
      </c>
      <c r="E98" s="576">
        <f>27500/1000000*2</f>
        <v>5.5E-2</v>
      </c>
      <c r="F98" s="587"/>
      <c r="G98" s="574">
        <f t="shared" si="26"/>
        <v>5.5E-2</v>
      </c>
      <c r="H98" s="576">
        <f>30250/2/1000000</f>
        <v>1.5125E-2</v>
      </c>
      <c r="I98" s="573">
        <f t="shared" si="46"/>
        <v>1.5125E-2</v>
      </c>
      <c r="J98" s="575">
        <f t="shared" si="27"/>
        <v>3.0249999999999999E-2</v>
      </c>
      <c r="K98" s="576">
        <f t="shared" si="48"/>
        <v>1.66375E-2</v>
      </c>
      <c r="L98" s="576">
        <f t="shared" si="49"/>
        <v>1.66375E-2</v>
      </c>
      <c r="M98" s="577">
        <f t="shared" si="28"/>
        <v>3.3274999999999999E-2</v>
      </c>
    </row>
    <row r="99" spans="1:13" s="8" customFormat="1" ht="20.100000000000001" customHeight="1">
      <c r="A99" s="588"/>
      <c r="B99" s="589" t="s">
        <v>1268</v>
      </c>
      <c r="C99" s="569" t="s">
        <v>910</v>
      </c>
      <c r="D99" s="571" t="s">
        <v>909</v>
      </c>
      <c r="E99" s="576">
        <f>27500/1000000*2</f>
        <v>5.5E-2</v>
      </c>
      <c r="F99" s="587"/>
      <c r="G99" s="574">
        <f t="shared" si="26"/>
        <v>5.5E-2</v>
      </c>
      <c r="H99" s="576">
        <f>30250/2/1000000</f>
        <v>1.5125E-2</v>
      </c>
      <c r="I99" s="573">
        <f t="shared" si="46"/>
        <v>1.5125E-2</v>
      </c>
      <c r="J99" s="575">
        <f t="shared" si="27"/>
        <v>3.0249999999999999E-2</v>
      </c>
      <c r="K99" s="576">
        <f t="shared" si="48"/>
        <v>1.66375E-2</v>
      </c>
      <c r="L99" s="576">
        <f t="shared" si="49"/>
        <v>1.66375E-2</v>
      </c>
      <c r="M99" s="577">
        <f t="shared" si="28"/>
        <v>3.3274999999999999E-2</v>
      </c>
    </row>
    <row r="100" spans="1:13" s="8" customFormat="1" ht="20.100000000000001" customHeight="1">
      <c r="A100" s="588"/>
      <c r="B100" s="589" t="s">
        <v>1269</v>
      </c>
      <c r="C100" s="569" t="s">
        <v>910</v>
      </c>
      <c r="D100" s="571" t="s">
        <v>909</v>
      </c>
      <c r="E100" s="576">
        <f>26400/1000000*2</f>
        <v>5.28E-2</v>
      </c>
      <c r="F100" s="587"/>
      <c r="G100" s="574">
        <f t="shared" si="26"/>
        <v>5.28E-2</v>
      </c>
      <c r="H100" s="576">
        <f>29050/2/1000000</f>
        <v>1.4525E-2</v>
      </c>
      <c r="I100" s="573">
        <f t="shared" si="46"/>
        <v>1.4525E-2</v>
      </c>
      <c r="J100" s="575">
        <f t="shared" si="27"/>
        <v>2.9049999999999999E-2</v>
      </c>
      <c r="K100" s="576">
        <f t="shared" si="48"/>
        <v>1.5977500000000002E-2</v>
      </c>
      <c r="L100" s="576">
        <f t="shared" si="49"/>
        <v>1.5977500000000002E-2</v>
      </c>
      <c r="M100" s="577">
        <f t="shared" si="28"/>
        <v>3.1955000000000004E-2</v>
      </c>
    </row>
    <row r="101" spans="1:13" s="8" customFormat="1" ht="20.100000000000001" customHeight="1">
      <c r="A101" s="588"/>
      <c r="B101" s="589" t="s">
        <v>1270</v>
      </c>
      <c r="C101" s="578" t="s">
        <v>910</v>
      </c>
      <c r="D101" s="571" t="s">
        <v>909</v>
      </c>
      <c r="E101" s="576">
        <f>27500/1000000*2</f>
        <v>5.5E-2</v>
      </c>
      <c r="F101" s="587"/>
      <c r="G101" s="574">
        <f t="shared" ref="G101" si="50">E101+F101</f>
        <v>5.5E-2</v>
      </c>
      <c r="H101" s="576">
        <f>30250/2/1000000</f>
        <v>1.5125E-2</v>
      </c>
      <c r="I101" s="573">
        <f t="shared" si="46"/>
        <v>1.5125E-2</v>
      </c>
      <c r="J101" s="575">
        <f t="shared" ref="J101:J102" si="51">H101+I101</f>
        <v>3.0249999999999999E-2</v>
      </c>
      <c r="K101" s="576">
        <f t="shared" si="48"/>
        <v>1.66375E-2</v>
      </c>
      <c r="L101" s="576">
        <f t="shared" si="49"/>
        <v>1.66375E-2</v>
      </c>
      <c r="M101" s="577">
        <f t="shared" ref="M101:M102" si="52">K101+L101</f>
        <v>3.3274999999999999E-2</v>
      </c>
    </row>
    <row r="102" spans="1:13" s="8" customFormat="1" ht="20.100000000000001" customHeight="1">
      <c r="A102" s="588"/>
      <c r="B102" s="589" t="s">
        <v>1280</v>
      </c>
      <c r="C102" s="578" t="s">
        <v>910</v>
      </c>
      <c r="D102" s="571" t="s">
        <v>909</v>
      </c>
      <c r="E102" s="576">
        <f>27500/1000000*2</f>
        <v>5.5E-2</v>
      </c>
      <c r="F102" s="587"/>
      <c r="G102" s="574"/>
      <c r="H102" s="576">
        <f>30250/2/1000000</f>
        <v>1.5125E-2</v>
      </c>
      <c r="I102" s="573">
        <f t="shared" si="46"/>
        <v>1.5125E-2</v>
      </c>
      <c r="J102" s="575">
        <f t="shared" si="51"/>
        <v>3.0249999999999999E-2</v>
      </c>
      <c r="K102" s="576">
        <f t="shared" si="48"/>
        <v>1.66375E-2</v>
      </c>
      <c r="L102" s="573">
        <f t="shared" si="49"/>
        <v>1.66375E-2</v>
      </c>
      <c r="M102" s="577">
        <f t="shared" si="52"/>
        <v>3.3274999999999999E-2</v>
      </c>
    </row>
    <row r="103" spans="1:13" s="8" customFormat="1" ht="20.100000000000001" customHeight="1">
      <c r="A103" s="588"/>
      <c r="B103" s="589" t="s">
        <v>1320</v>
      </c>
      <c r="C103" s="569"/>
      <c r="D103" s="571"/>
      <c r="E103" s="576">
        <v>0.05</v>
      </c>
      <c r="F103" s="587"/>
      <c r="G103" s="574"/>
      <c r="H103" s="576"/>
      <c r="I103" s="573"/>
      <c r="J103" s="575"/>
      <c r="K103" s="576"/>
      <c r="L103" s="573"/>
      <c r="M103" s="577"/>
    </row>
    <row r="104" spans="1:13" s="8" customFormat="1" ht="20.100000000000001" customHeight="1">
      <c r="A104" s="588"/>
      <c r="B104" s="589"/>
      <c r="C104" s="569"/>
      <c r="D104" s="571"/>
      <c r="E104" s="576"/>
      <c r="F104" s="587"/>
      <c r="G104" s="574"/>
      <c r="H104" s="576"/>
      <c r="I104" s="573"/>
      <c r="J104" s="575"/>
      <c r="K104" s="576"/>
      <c r="L104" s="573"/>
      <c r="M104" s="577"/>
    </row>
    <row r="105" spans="1:13" s="8" customFormat="1" ht="20.100000000000001" customHeight="1">
      <c r="A105" s="588"/>
      <c r="B105" s="589"/>
      <c r="C105" s="578"/>
      <c r="D105" s="571"/>
      <c r="E105" s="576"/>
      <c r="F105" s="587"/>
      <c r="G105" s="574">
        <f t="shared" si="26"/>
        <v>0</v>
      </c>
      <c r="H105" s="576">
        <f t="shared" ref="H105" si="53">+E105</f>
        <v>0</v>
      </c>
      <c r="I105" s="573"/>
      <c r="J105" s="575">
        <f t="shared" si="27"/>
        <v>0</v>
      </c>
      <c r="K105" s="576">
        <f t="shared" si="47"/>
        <v>0</v>
      </c>
      <c r="L105" s="573"/>
      <c r="M105" s="577">
        <f t="shared" si="28"/>
        <v>0</v>
      </c>
    </row>
    <row r="106" spans="1:13" ht="21.95" customHeight="1">
      <c r="A106" s="1491" t="s">
        <v>900</v>
      </c>
      <c r="B106" s="1492"/>
      <c r="C106" s="1492"/>
      <c r="D106" s="1492"/>
      <c r="E106" s="1492"/>
      <c r="F106" s="1492"/>
      <c r="G106" s="1492"/>
      <c r="H106" s="1492"/>
      <c r="I106" s="1492"/>
      <c r="J106" s="1492"/>
      <c r="K106" s="1492"/>
      <c r="L106" s="1492"/>
      <c r="M106" s="1493"/>
    </row>
    <row r="107" spans="1:13" s="8" customFormat="1" ht="20.100000000000001" customHeight="1">
      <c r="A107" s="590" t="s">
        <v>1271</v>
      </c>
      <c r="B107" s="591"/>
      <c r="C107" s="592"/>
      <c r="D107" s="593"/>
      <c r="E107" s="587"/>
      <c r="F107" s="587"/>
      <c r="G107" s="576">
        <f t="shared" ref="G107" si="54">+D107</f>
        <v>0</v>
      </c>
      <c r="H107" s="587"/>
      <c r="J107" s="575">
        <f>G107+H107</f>
        <v>0</v>
      </c>
      <c r="K107" s="587"/>
      <c r="L107" s="587"/>
      <c r="M107" s="276">
        <f t="shared" ref="M107:M112" si="55">K107+L107</f>
        <v>0</v>
      </c>
    </row>
    <row r="108" spans="1:13" s="8" customFormat="1" ht="20.100000000000001" customHeight="1">
      <c r="A108" s="589" t="s">
        <v>1271</v>
      </c>
      <c r="B108" s="594" t="s">
        <v>913</v>
      </c>
      <c r="C108" s="592"/>
      <c r="D108" s="571" t="s">
        <v>909</v>
      </c>
      <c r="E108" s="593">
        <f>41800/1000000*2</f>
        <v>8.3599999999999994E-2</v>
      </c>
      <c r="F108" s="587"/>
      <c r="G108" s="574">
        <f>E108+F108</f>
        <v>8.3599999999999994E-2</v>
      </c>
      <c r="H108" s="576">
        <f>46000/1000000/2</f>
        <v>2.3E-2</v>
      </c>
      <c r="I108" s="587">
        <f>+H108</f>
        <v>2.3E-2</v>
      </c>
      <c r="J108" s="575">
        <f>H108+I108</f>
        <v>4.5999999999999999E-2</v>
      </c>
      <c r="K108" s="593">
        <f>H108*1.1</f>
        <v>2.5300000000000003E-2</v>
      </c>
      <c r="L108" s="593">
        <f>I108*1.1</f>
        <v>2.5300000000000003E-2</v>
      </c>
      <c r="M108" s="577">
        <f t="shared" si="55"/>
        <v>5.0600000000000006E-2</v>
      </c>
    </row>
    <row r="109" spans="1:13" s="8" customFormat="1" ht="20.100000000000001" customHeight="1">
      <c r="A109" s="589" t="s">
        <v>1271</v>
      </c>
      <c r="B109" s="594" t="s">
        <v>910</v>
      </c>
      <c r="C109" s="592"/>
      <c r="D109" s="571" t="s">
        <v>909</v>
      </c>
      <c r="E109" s="593">
        <f>41800/1000000*2</f>
        <v>8.3599999999999994E-2</v>
      </c>
      <c r="F109" s="587"/>
      <c r="G109" s="574">
        <f>E109+F109</f>
        <v>8.3599999999999994E-2</v>
      </c>
      <c r="H109" s="576">
        <f>46000/1000000/2*2</f>
        <v>4.5999999999999999E-2</v>
      </c>
      <c r="I109" s="587">
        <f t="shared" ref="I109:I112" si="56">+H109</f>
        <v>4.5999999999999999E-2</v>
      </c>
      <c r="J109" s="575">
        <f>H109+I109</f>
        <v>9.1999999999999998E-2</v>
      </c>
      <c r="K109" s="593">
        <f t="shared" ref="K109:K112" si="57">H109*1.1</f>
        <v>5.0600000000000006E-2</v>
      </c>
      <c r="L109" s="593">
        <f t="shared" ref="L109:L112" si="58">I109*1.1</f>
        <v>5.0600000000000006E-2</v>
      </c>
      <c r="M109" s="577">
        <f t="shared" si="55"/>
        <v>0.10120000000000001</v>
      </c>
    </row>
    <row r="110" spans="1:13" s="8" customFormat="1" ht="20.100000000000001" customHeight="1">
      <c r="A110" s="589" t="s">
        <v>1271</v>
      </c>
      <c r="B110" s="594" t="s">
        <v>904</v>
      </c>
      <c r="C110" s="592"/>
      <c r="D110" s="571" t="s">
        <v>909</v>
      </c>
      <c r="E110" s="593">
        <f>41800/1000000*2</f>
        <v>8.3599999999999994E-2</v>
      </c>
      <c r="F110" s="587"/>
      <c r="G110" s="574">
        <f>E110+F110</f>
        <v>8.3599999999999994E-2</v>
      </c>
      <c r="H110" s="576">
        <f t="shared" ref="H110:H112" si="59">46000/1000000/2*2</f>
        <v>4.5999999999999999E-2</v>
      </c>
      <c r="I110" s="587">
        <f t="shared" si="56"/>
        <v>4.5999999999999999E-2</v>
      </c>
      <c r="J110" s="575">
        <f>H110+I110</f>
        <v>9.1999999999999998E-2</v>
      </c>
      <c r="K110" s="593">
        <f t="shared" si="57"/>
        <v>5.0600000000000006E-2</v>
      </c>
      <c r="L110" s="593">
        <f t="shared" si="58"/>
        <v>5.0600000000000006E-2</v>
      </c>
      <c r="M110" s="577">
        <f t="shared" si="55"/>
        <v>0.10120000000000001</v>
      </c>
    </row>
    <row r="111" spans="1:13" s="8" customFormat="1" ht="20.100000000000001" customHeight="1">
      <c r="A111" s="589" t="s">
        <v>1271</v>
      </c>
      <c r="B111" s="594" t="s">
        <v>905</v>
      </c>
      <c r="C111" s="592"/>
      <c r="D111" s="571" t="s">
        <v>909</v>
      </c>
      <c r="E111" s="593">
        <f>41800/1000000*2</f>
        <v>8.3599999999999994E-2</v>
      </c>
      <c r="F111" s="587"/>
      <c r="G111" s="574">
        <f>E111+F111</f>
        <v>8.3599999999999994E-2</v>
      </c>
      <c r="H111" s="576">
        <f t="shared" si="59"/>
        <v>4.5999999999999999E-2</v>
      </c>
      <c r="I111" s="587">
        <f t="shared" si="56"/>
        <v>4.5999999999999999E-2</v>
      </c>
      <c r="J111" s="575">
        <f>H111+I111</f>
        <v>9.1999999999999998E-2</v>
      </c>
      <c r="K111" s="593">
        <f t="shared" si="57"/>
        <v>5.0600000000000006E-2</v>
      </c>
      <c r="L111" s="593">
        <f t="shared" si="58"/>
        <v>5.0600000000000006E-2</v>
      </c>
      <c r="M111" s="577">
        <f t="shared" si="55"/>
        <v>0.10120000000000001</v>
      </c>
    </row>
    <row r="112" spans="1:13" s="8" customFormat="1" ht="20.100000000000001" customHeight="1">
      <c r="A112" s="589" t="s">
        <v>1271</v>
      </c>
      <c r="B112" s="594" t="s">
        <v>906</v>
      </c>
      <c r="C112" s="592"/>
      <c r="D112" s="571" t="s">
        <v>909</v>
      </c>
      <c r="E112" s="593">
        <f>41800/1000000*2</f>
        <v>8.3599999999999994E-2</v>
      </c>
      <c r="F112" s="587"/>
      <c r="G112" s="574">
        <f>E112+F112</f>
        <v>8.3599999999999994E-2</v>
      </c>
      <c r="H112" s="576">
        <f t="shared" si="59"/>
        <v>4.5999999999999999E-2</v>
      </c>
      <c r="I112" s="587">
        <f t="shared" si="56"/>
        <v>4.5999999999999999E-2</v>
      </c>
      <c r="J112" s="575">
        <f>H112+I112</f>
        <v>9.1999999999999998E-2</v>
      </c>
      <c r="K112" s="593">
        <f t="shared" si="57"/>
        <v>5.0600000000000006E-2</v>
      </c>
      <c r="L112" s="593">
        <f t="shared" si="58"/>
        <v>5.0600000000000006E-2</v>
      </c>
      <c r="M112" s="577">
        <f t="shared" si="55"/>
        <v>0.10120000000000001</v>
      </c>
    </row>
    <row r="113" spans="1:13" s="8" customFormat="1" ht="20.100000000000001" customHeight="1">
      <c r="A113" s="240">
        <v>7</v>
      </c>
      <c r="B113" s="267"/>
      <c r="C113" s="268"/>
      <c r="D113" s="272"/>
      <c r="E113" s="263"/>
      <c r="F113" s="263"/>
      <c r="G113" s="574">
        <f t="shared" ref="G113:G121" si="60">E113+F113</f>
        <v>0</v>
      </c>
      <c r="H113" s="263"/>
      <c r="I113" s="263"/>
      <c r="J113" s="575">
        <f t="shared" ref="J113:J121" si="61">H113+I113</f>
        <v>0</v>
      </c>
      <c r="K113" s="263"/>
      <c r="L113" s="263"/>
      <c r="M113" s="276">
        <f t="shared" ref="M113:M121" si="62">K113+L113</f>
        <v>0</v>
      </c>
    </row>
    <row r="114" spans="1:13" s="8" customFormat="1" ht="20.100000000000001" customHeight="1">
      <c r="A114" s="240">
        <v>8</v>
      </c>
      <c r="B114" s="267"/>
      <c r="C114" s="268"/>
      <c r="D114" s="272"/>
      <c r="E114" s="263"/>
      <c r="F114" s="263"/>
      <c r="G114" s="574">
        <f t="shared" si="60"/>
        <v>0</v>
      </c>
      <c r="H114" s="263"/>
      <c r="I114" s="263"/>
      <c r="J114" s="575">
        <f t="shared" si="61"/>
        <v>0</v>
      </c>
      <c r="K114" s="263"/>
      <c r="L114" s="263"/>
      <c r="M114" s="276">
        <f t="shared" si="62"/>
        <v>0</v>
      </c>
    </row>
    <row r="115" spans="1:13" s="8" customFormat="1" ht="20.100000000000001" customHeight="1">
      <c r="A115" s="240">
        <v>9</v>
      </c>
      <c r="B115" s="267"/>
      <c r="C115" s="268"/>
      <c r="D115" s="272"/>
      <c r="E115" s="263"/>
      <c r="F115" s="263"/>
      <c r="G115" s="574">
        <f t="shared" si="60"/>
        <v>0</v>
      </c>
      <c r="H115" s="263"/>
      <c r="I115" s="263"/>
      <c r="J115" s="575">
        <f t="shared" si="61"/>
        <v>0</v>
      </c>
      <c r="K115" s="263"/>
      <c r="L115" s="263"/>
      <c r="M115" s="276">
        <f t="shared" si="62"/>
        <v>0</v>
      </c>
    </row>
    <row r="116" spans="1:13" s="8" customFormat="1" ht="20.100000000000001" customHeight="1">
      <c r="A116" s="240">
        <v>10</v>
      </c>
      <c r="B116" s="267"/>
      <c r="C116" s="268"/>
      <c r="D116" s="272"/>
      <c r="E116" s="263"/>
      <c r="F116" s="263"/>
      <c r="G116" s="574">
        <f t="shared" si="60"/>
        <v>0</v>
      </c>
      <c r="H116" s="263"/>
      <c r="I116" s="263"/>
      <c r="J116" s="575">
        <f t="shared" si="61"/>
        <v>0</v>
      </c>
      <c r="K116" s="263"/>
      <c r="L116" s="263"/>
      <c r="M116" s="276">
        <f t="shared" si="62"/>
        <v>0</v>
      </c>
    </row>
    <row r="117" spans="1:13" s="8" customFormat="1" ht="20.100000000000001" customHeight="1">
      <c r="A117" s="240">
        <v>11</v>
      </c>
      <c r="B117" s="267"/>
      <c r="C117" s="268"/>
      <c r="D117" s="272"/>
      <c r="E117" s="263"/>
      <c r="F117" s="263"/>
      <c r="G117" s="574">
        <f t="shared" si="60"/>
        <v>0</v>
      </c>
      <c r="H117" s="263"/>
      <c r="I117" s="263"/>
      <c r="J117" s="575">
        <f t="shared" si="61"/>
        <v>0</v>
      </c>
      <c r="K117" s="263"/>
      <c r="L117" s="263"/>
      <c r="M117" s="276">
        <f t="shared" si="62"/>
        <v>0</v>
      </c>
    </row>
    <row r="118" spans="1:13" s="8" customFormat="1" ht="20.100000000000001" customHeight="1">
      <c r="A118" s="240">
        <v>12</v>
      </c>
      <c r="B118" s="267"/>
      <c r="C118" s="268"/>
      <c r="D118" s="272"/>
      <c r="E118" s="263"/>
      <c r="F118" s="263"/>
      <c r="G118" s="574">
        <f t="shared" si="60"/>
        <v>0</v>
      </c>
      <c r="H118" s="263"/>
      <c r="I118" s="263"/>
      <c r="J118" s="575">
        <f t="shared" si="61"/>
        <v>0</v>
      </c>
      <c r="K118" s="263"/>
      <c r="L118" s="263"/>
      <c r="M118" s="276">
        <f t="shared" si="62"/>
        <v>0</v>
      </c>
    </row>
    <row r="119" spans="1:13" s="8" customFormat="1" ht="20.100000000000001" customHeight="1">
      <c r="A119" s="240">
        <v>13</v>
      </c>
      <c r="B119" s="267"/>
      <c r="C119" s="268"/>
      <c r="D119" s="272"/>
      <c r="E119" s="263"/>
      <c r="F119" s="263"/>
      <c r="G119" s="574">
        <f t="shared" si="60"/>
        <v>0</v>
      </c>
      <c r="H119" s="263"/>
      <c r="I119" s="263"/>
      <c r="J119" s="575">
        <f t="shared" si="61"/>
        <v>0</v>
      </c>
      <c r="K119" s="263"/>
      <c r="L119" s="263"/>
      <c r="M119" s="276">
        <f t="shared" si="62"/>
        <v>0</v>
      </c>
    </row>
    <row r="120" spans="1:13" s="8" customFormat="1" ht="20.100000000000001" customHeight="1">
      <c r="A120" s="240">
        <v>14</v>
      </c>
      <c r="B120" s="267"/>
      <c r="C120" s="268"/>
      <c r="D120" s="272"/>
      <c r="E120" s="263"/>
      <c r="F120" s="263"/>
      <c r="G120" s="574">
        <f t="shared" si="60"/>
        <v>0</v>
      </c>
      <c r="H120" s="263"/>
      <c r="I120" s="263"/>
      <c r="J120" s="575">
        <f t="shared" si="61"/>
        <v>0</v>
      </c>
      <c r="K120" s="263"/>
      <c r="L120" s="263"/>
      <c r="M120" s="276">
        <f t="shared" si="62"/>
        <v>0</v>
      </c>
    </row>
    <row r="121" spans="1:13" s="8" customFormat="1" ht="20.100000000000001" customHeight="1">
      <c r="A121" s="269">
        <v>15</v>
      </c>
      <c r="B121" s="270"/>
      <c r="C121" s="265"/>
      <c r="D121" s="271"/>
      <c r="E121" s="266"/>
      <c r="F121" s="266"/>
      <c r="G121" s="574">
        <f t="shared" si="60"/>
        <v>0</v>
      </c>
      <c r="H121" s="266"/>
      <c r="I121" s="266"/>
      <c r="J121" s="575">
        <f t="shared" si="61"/>
        <v>0</v>
      </c>
      <c r="K121" s="266"/>
      <c r="L121" s="266"/>
      <c r="M121" s="276">
        <f t="shared" si="62"/>
        <v>0</v>
      </c>
    </row>
    <row r="122" spans="1:13" ht="21.95" customHeight="1">
      <c r="A122" s="1494" t="s">
        <v>901</v>
      </c>
      <c r="B122" s="1495"/>
      <c r="C122" s="1495"/>
      <c r="D122" s="1495"/>
      <c r="E122" s="1495"/>
      <c r="F122" s="1495"/>
      <c r="G122" s="1495"/>
      <c r="H122" s="1495"/>
      <c r="I122" s="1495"/>
      <c r="J122" s="1495"/>
      <c r="K122" s="1495"/>
      <c r="L122" s="1495"/>
      <c r="M122" s="1496"/>
    </row>
    <row r="123" spans="1:13" s="8" customFormat="1" ht="20.100000000000001" customHeight="1">
      <c r="A123" s="277">
        <v>1</v>
      </c>
      <c r="B123" s="594" t="s">
        <v>913</v>
      </c>
      <c r="C123" s="592" t="s">
        <v>909</v>
      </c>
      <c r="D123" s="593">
        <f>41800/1000000*2</f>
        <v>8.3599999999999994E-2</v>
      </c>
      <c r="E123" s="587"/>
      <c r="G123" s="574">
        <f>D123+E123</f>
        <v>8.3599999999999994E-2</v>
      </c>
      <c r="H123" s="587">
        <f>46000/2/1000000*2</f>
        <v>4.5999999999999999E-2</v>
      </c>
      <c r="I123" s="587">
        <f>46000/2/1000000*2</f>
        <v>4.5999999999999999E-2</v>
      </c>
      <c r="J123" s="575">
        <f>+H123+I123</f>
        <v>9.1999999999999998E-2</v>
      </c>
      <c r="K123" s="587">
        <f>H123*1.1</f>
        <v>5.0600000000000006E-2</v>
      </c>
      <c r="L123" s="587">
        <f>I123*1.1</f>
        <v>5.0600000000000006E-2</v>
      </c>
      <c r="M123" s="577">
        <f>+K123+L123</f>
        <v>0.10120000000000001</v>
      </c>
    </row>
    <row r="124" spans="1:13" s="8" customFormat="1" ht="20.100000000000001" customHeight="1">
      <c r="A124" s="262">
        <v>2</v>
      </c>
      <c r="B124" s="594" t="s">
        <v>910</v>
      </c>
      <c r="C124" s="592" t="s">
        <v>909</v>
      </c>
      <c r="D124" s="593">
        <f>41800/1000000*2</f>
        <v>8.3599999999999994E-2</v>
      </c>
      <c r="E124" s="587"/>
      <c r="G124" s="574">
        <f>D124+E124</f>
        <v>8.3599999999999994E-2</v>
      </c>
      <c r="H124" s="587">
        <f t="shared" ref="H124:I127" si="63">46000/2/1000000*2</f>
        <v>4.5999999999999999E-2</v>
      </c>
      <c r="I124" s="587">
        <f t="shared" si="63"/>
        <v>4.5999999999999999E-2</v>
      </c>
      <c r="J124" s="575">
        <f t="shared" ref="J124:J127" si="64">+H124+I124</f>
        <v>9.1999999999999998E-2</v>
      </c>
      <c r="K124" s="587">
        <f t="shared" ref="K124:K127" si="65">H124*1.1</f>
        <v>5.0600000000000006E-2</v>
      </c>
      <c r="L124" s="587">
        <f t="shared" ref="L124:L127" si="66">I124*1.1</f>
        <v>5.0600000000000006E-2</v>
      </c>
      <c r="M124" s="577">
        <f t="shared" ref="M124:M127" si="67">+K124+L124</f>
        <v>0.10120000000000001</v>
      </c>
    </row>
    <row r="125" spans="1:13" s="8" customFormat="1" ht="20.100000000000001" customHeight="1">
      <c r="A125" s="262">
        <v>3</v>
      </c>
      <c r="B125" s="594" t="s">
        <v>904</v>
      </c>
      <c r="C125" s="592" t="s">
        <v>909</v>
      </c>
      <c r="D125" s="593">
        <f>41800/1000000*2</f>
        <v>8.3599999999999994E-2</v>
      </c>
      <c r="E125" s="587"/>
      <c r="G125" s="574">
        <f>D125+E125</f>
        <v>8.3599999999999994E-2</v>
      </c>
      <c r="H125" s="587">
        <f t="shared" si="63"/>
        <v>4.5999999999999999E-2</v>
      </c>
      <c r="I125" s="587">
        <f t="shared" si="63"/>
        <v>4.5999999999999999E-2</v>
      </c>
      <c r="J125" s="575">
        <f t="shared" si="64"/>
        <v>9.1999999999999998E-2</v>
      </c>
      <c r="K125" s="587">
        <f t="shared" si="65"/>
        <v>5.0600000000000006E-2</v>
      </c>
      <c r="L125" s="587">
        <f t="shared" si="66"/>
        <v>5.0600000000000006E-2</v>
      </c>
      <c r="M125" s="577">
        <f t="shared" si="67"/>
        <v>0.10120000000000001</v>
      </c>
    </row>
    <row r="126" spans="1:13" s="8" customFormat="1" ht="20.100000000000001" customHeight="1">
      <c r="A126" s="262">
        <v>4</v>
      </c>
      <c r="B126" s="594" t="s">
        <v>905</v>
      </c>
      <c r="C126" s="592" t="s">
        <v>909</v>
      </c>
      <c r="D126" s="593">
        <f>41800/1000000*2</f>
        <v>8.3599999999999994E-2</v>
      </c>
      <c r="E126" s="587"/>
      <c r="G126" s="574">
        <f>D126+E126</f>
        <v>8.3599999999999994E-2</v>
      </c>
      <c r="H126" s="587">
        <f t="shared" si="63"/>
        <v>4.5999999999999999E-2</v>
      </c>
      <c r="I126" s="587">
        <f t="shared" si="63"/>
        <v>4.5999999999999999E-2</v>
      </c>
      <c r="J126" s="575">
        <f t="shared" si="64"/>
        <v>9.1999999999999998E-2</v>
      </c>
      <c r="K126" s="587">
        <f t="shared" si="65"/>
        <v>5.0600000000000006E-2</v>
      </c>
      <c r="L126" s="587">
        <f t="shared" si="66"/>
        <v>5.0600000000000006E-2</v>
      </c>
      <c r="M126" s="577">
        <f t="shared" si="67"/>
        <v>0.10120000000000001</v>
      </c>
    </row>
    <row r="127" spans="1:13" s="8" customFormat="1" ht="20.100000000000001" customHeight="1">
      <c r="A127" s="262">
        <v>5</v>
      </c>
      <c r="B127" s="594" t="s">
        <v>906</v>
      </c>
      <c r="C127" s="592" t="s">
        <v>909</v>
      </c>
      <c r="D127" s="593">
        <f>41800/1000000*2</f>
        <v>8.3599999999999994E-2</v>
      </c>
      <c r="E127" s="587"/>
      <c r="G127" s="574">
        <f>D127+E127</f>
        <v>8.3599999999999994E-2</v>
      </c>
      <c r="H127" s="587">
        <f t="shared" si="63"/>
        <v>4.5999999999999999E-2</v>
      </c>
      <c r="I127" s="587">
        <f t="shared" si="63"/>
        <v>4.5999999999999999E-2</v>
      </c>
      <c r="J127" s="575">
        <f t="shared" si="64"/>
        <v>9.1999999999999998E-2</v>
      </c>
      <c r="K127" s="587">
        <f t="shared" si="65"/>
        <v>5.0600000000000006E-2</v>
      </c>
      <c r="L127" s="587">
        <f t="shared" si="66"/>
        <v>5.0600000000000006E-2</v>
      </c>
      <c r="M127" s="577">
        <f t="shared" si="67"/>
        <v>0.10120000000000001</v>
      </c>
    </row>
    <row r="128" spans="1:13" s="8" customFormat="1" ht="20.100000000000001" customHeight="1">
      <c r="A128" s="262">
        <v>6</v>
      </c>
      <c r="B128" s="268"/>
      <c r="C128" s="268"/>
      <c r="D128" s="272"/>
      <c r="E128" s="263"/>
      <c r="F128" s="236"/>
      <c r="G128" s="273">
        <f t="shared" ref="G128:G134" si="68">E128+F128</f>
        <v>0</v>
      </c>
      <c r="H128" s="263"/>
      <c r="I128" s="236"/>
      <c r="J128" s="275">
        <f t="shared" ref="J128:J134" si="69">H128+I128</f>
        <v>0</v>
      </c>
      <c r="K128" s="263"/>
      <c r="L128" s="236"/>
      <c r="M128" s="276">
        <f t="shared" ref="M128:M134" si="70">K128+L128</f>
        <v>0</v>
      </c>
    </row>
    <row r="129" spans="1:13" s="8" customFormat="1" ht="20.100000000000001" customHeight="1">
      <c r="A129" s="262">
        <v>7</v>
      </c>
      <c r="B129" s="268"/>
      <c r="C129" s="268"/>
      <c r="D129" s="272"/>
      <c r="E129" s="263"/>
      <c r="F129" s="236"/>
      <c r="G129" s="273">
        <f t="shared" si="68"/>
        <v>0</v>
      </c>
      <c r="H129" s="263"/>
      <c r="I129" s="236"/>
      <c r="J129" s="275">
        <f t="shared" si="69"/>
        <v>0</v>
      </c>
      <c r="K129" s="263"/>
      <c r="L129" s="236"/>
      <c r="M129" s="276">
        <f t="shared" si="70"/>
        <v>0</v>
      </c>
    </row>
    <row r="130" spans="1:13" s="8" customFormat="1" ht="20.100000000000001" customHeight="1">
      <c r="A130" s="262">
        <v>8</v>
      </c>
      <c r="B130" s="268"/>
      <c r="C130" s="268"/>
      <c r="D130" s="272"/>
      <c r="E130" s="263"/>
      <c r="F130" s="236"/>
      <c r="G130" s="273">
        <f t="shared" si="68"/>
        <v>0</v>
      </c>
      <c r="H130" s="263"/>
      <c r="I130" s="236"/>
      <c r="J130" s="275">
        <f t="shared" si="69"/>
        <v>0</v>
      </c>
      <c r="K130" s="263"/>
      <c r="L130" s="236"/>
      <c r="M130" s="276">
        <f t="shared" si="70"/>
        <v>0</v>
      </c>
    </row>
    <row r="131" spans="1:13" s="8" customFormat="1" ht="20.100000000000001" customHeight="1">
      <c r="A131" s="262">
        <v>9</v>
      </c>
      <c r="B131" s="268"/>
      <c r="C131" s="268"/>
      <c r="D131" s="272"/>
      <c r="E131" s="263"/>
      <c r="F131" s="236"/>
      <c r="G131" s="273">
        <f t="shared" si="68"/>
        <v>0</v>
      </c>
      <c r="H131" s="263"/>
      <c r="I131" s="236"/>
      <c r="J131" s="275">
        <f t="shared" si="69"/>
        <v>0</v>
      </c>
      <c r="K131" s="263"/>
      <c r="L131" s="236"/>
      <c r="M131" s="276">
        <f t="shared" si="70"/>
        <v>0</v>
      </c>
    </row>
    <row r="132" spans="1:13" s="8" customFormat="1" ht="20.100000000000001" customHeight="1">
      <c r="A132" s="262">
        <v>10</v>
      </c>
      <c r="B132" s="268"/>
      <c r="C132" s="268"/>
      <c r="D132" s="272"/>
      <c r="E132" s="263"/>
      <c r="F132" s="236"/>
      <c r="G132" s="273">
        <f t="shared" si="68"/>
        <v>0</v>
      </c>
      <c r="H132" s="263"/>
      <c r="I132" s="236"/>
      <c r="J132" s="275">
        <f t="shared" si="69"/>
        <v>0</v>
      </c>
      <c r="K132" s="263"/>
      <c r="L132" s="236"/>
      <c r="M132" s="276">
        <f t="shared" si="70"/>
        <v>0</v>
      </c>
    </row>
    <row r="133" spans="1:13" s="8" customFormat="1" ht="20.100000000000001" customHeight="1">
      <c r="A133" s="262">
        <v>11</v>
      </c>
      <c r="B133" s="268"/>
      <c r="C133" s="268"/>
      <c r="D133" s="272"/>
      <c r="E133" s="263"/>
      <c r="F133" s="236"/>
      <c r="G133" s="273">
        <f t="shared" si="68"/>
        <v>0</v>
      </c>
      <c r="H133" s="263"/>
      <c r="I133" s="236"/>
      <c r="J133" s="275">
        <f t="shared" si="69"/>
        <v>0</v>
      </c>
      <c r="K133" s="263"/>
      <c r="L133" s="236"/>
      <c r="M133" s="276">
        <f t="shared" si="70"/>
        <v>0</v>
      </c>
    </row>
    <row r="134" spans="1:13" s="8" customFormat="1" ht="20.100000000000001" customHeight="1">
      <c r="A134" s="264">
        <v>12</v>
      </c>
      <c r="B134" s="265"/>
      <c r="C134" s="265"/>
      <c r="D134" s="265"/>
      <c r="E134" s="266"/>
      <c r="F134" s="235"/>
      <c r="G134" s="274">
        <f t="shared" si="68"/>
        <v>0</v>
      </c>
      <c r="H134" s="266"/>
      <c r="I134" s="235"/>
      <c r="J134" s="275">
        <f t="shared" si="69"/>
        <v>0</v>
      </c>
      <c r="K134" s="266"/>
      <c r="L134" s="235"/>
      <c r="M134" s="276">
        <f t="shared" si="70"/>
        <v>0</v>
      </c>
    </row>
    <row r="135" spans="1:13" ht="21.95" customHeight="1">
      <c r="A135" s="1479" t="s">
        <v>1330</v>
      </c>
      <c r="B135" s="1480"/>
      <c r="C135" s="1480"/>
      <c r="D135" s="1480"/>
      <c r="E135" s="1480"/>
      <c r="F135" s="1480"/>
      <c r="G135" s="1480"/>
      <c r="H135" s="1480"/>
      <c r="I135" s="1480"/>
      <c r="J135" s="1480"/>
      <c r="K135" s="1480"/>
      <c r="L135" s="1480"/>
      <c r="M135" s="1481"/>
    </row>
    <row r="136" spans="1:13" s="8" customFormat="1" ht="20.100000000000001" customHeight="1">
      <c r="A136" s="567"/>
      <c r="B136" s="1465" t="s">
        <v>1191</v>
      </c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7"/>
    </row>
    <row r="137" spans="1:13" s="8" customFormat="1" ht="20.100000000000001" customHeight="1">
      <c r="A137" s="568">
        <v>3</v>
      </c>
      <c r="B137" s="569" t="s">
        <v>1194</v>
      </c>
      <c r="C137" s="570" t="s">
        <v>913</v>
      </c>
      <c r="D137" s="571" t="s">
        <v>909</v>
      </c>
      <c r="E137" s="576"/>
      <c r="F137" s="573"/>
      <c r="G137" s="574">
        <f t="shared" ref="G137" si="71">E137+F137</f>
        <v>0</v>
      </c>
      <c r="H137" s="572">
        <f>72600/1000000</f>
        <v>7.2599999999999998E-2</v>
      </c>
      <c r="I137" s="573"/>
      <c r="J137" s="575">
        <f t="shared" ref="J137" si="72">H137+I137</f>
        <v>7.2599999999999998E-2</v>
      </c>
      <c r="K137" s="576">
        <f t="shared" ref="K137" si="73">SUM(H137*1.1)</f>
        <v>7.986E-2</v>
      </c>
      <c r="L137" s="576">
        <f t="shared" ref="L137" si="74">SUM(I137*1.1)</f>
        <v>0</v>
      </c>
      <c r="M137" s="577">
        <f t="shared" ref="M137:M141" si="75">K137+L137</f>
        <v>7.986E-2</v>
      </c>
    </row>
    <row r="138" spans="1:13" s="8" customFormat="1" ht="20.100000000000001" customHeight="1">
      <c r="A138" s="568"/>
      <c r="B138" s="1450" t="s">
        <v>1197</v>
      </c>
      <c r="C138" s="1451"/>
      <c r="D138" s="1451"/>
      <c r="E138" s="1451"/>
      <c r="F138" s="1451"/>
      <c r="G138" s="1451"/>
      <c r="H138" s="1451"/>
      <c r="I138" s="1451"/>
      <c r="J138" s="1451"/>
      <c r="K138" s="1451"/>
      <c r="L138" s="1468"/>
      <c r="M138" s="577">
        <f t="shared" si="75"/>
        <v>0</v>
      </c>
    </row>
    <row r="139" spans="1:13" s="8" customFormat="1" ht="20.100000000000001" customHeight="1">
      <c r="A139" s="568">
        <v>6</v>
      </c>
      <c r="B139" s="569" t="s">
        <v>1198</v>
      </c>
      <c r="C139" s="570" t="s">
        <v>913</v>
      </c>
      <c r="D139" s="571" t="s">
        <v>909</v>
      </c>
      <c r="E139" s="576"/>
      <c r="F139" s="573"/>
      <c r="G139" s="574">
        <f t="shared" ref="G139:G141" si="76">E139+F139</f>
        <v>0</v>
      </c>
      <c r="H139" s="572">
        <f>66550/1000000</f>
        <v>6.6549999999999998E-2</v>
      </c>
      <c r="I139" s="573"/>
      <c r="J139" s="575">
        <f t="shared" ref="J139:J141" si="77">H139+I139</f>
        <v>6.6549999999999998E-2</v>
      </c>
      <c r="K139" s="576">
        <f>SUM(H139*1.1)</f>
        <v>7.3205000000000006E-2</v>
      </c>
      <c r="L139" s="576">
        <f>SUM(I139*1.1)</f>
        <v>0</v>
      </c>
      <c r="M139" s="577">
        <f t="shared" si="75"/>
        <v>7.3205000000000006E-2</v>
      </c>
    </row>
    <row r="140" spans="1:13" s="8" customFormat="1" ht="20.100000000000001" customHeight="1">
      <c r="A140" s="568">
        <v>7</v>
      </c>
      <c r="B140" s="569" t="s">
        <v>1199</v>
      </c>
      <c r="C140" s="570" t="s">
        <v>913</v>
      </c>
      <c r="D140" s="571" t="s">
        <v>909</v>
      </c>
      <c r="E140" s="576"/>
      <c r="F140" s="573"/>
      <c r="G140" s="574">
        <f t="shared" si="76"/>
        <v>0</v>
      </c>
      <c r="H140" s="572">
        <f>66550/1000000</f>
        <v>6.6549999999999998E-2</v>
      </c>
      <c r="I140" s="573"/>
      <c r="J140" s="575">
        <f t="shared" si="77"/>
        <v>6.6549999999999998E-2</v>
      </c>
      <c r="K140" s="576">
        <f t="shared" ref="K140:K141" si="78">SUM(H140*1.1)</f>
        <v>7.3205000000000006E-2</v>
      </c>
      <c r="L140" s="576">
        <f t="shared" ref="L140:L141" si="79">SUM(I140*1.1)</f>
        <v>0</v>
      </c>
      <c r="M140" s="577">
        <f t="shared" si="75"/>
        <v>7.3205000000000006E-2</v>
      </c>
    </row>
    <row r="141" spans="1:13" ht="21.95" customHeight="1">
      <c r="A141" s="568">
        <v>10</v>
      </c>
      <c r="B141" s="569" t="s">
        <v>1202</v>
      </c>
      <c r="C141" s="570" t="s">
        <v>913</v>
      </c>
      <c r="D141" s="571" t="s">
        <v>909</v>
      </c>
      <c r="E141" s="576"/>
      <c r="F141" s="573"/>
      <c r="G141" s="574">
        <f t="shared" si="76"/>
        <v>0</v>
      </c>
      <c r="H141" s="572">
        <f>66550/1000000</f>
        <v>6.6549999999999998E-2</v>
      </c>
      <c r="I141" s="573"/>
      <c r="J141" s="575">
        <f t="shared" si="77"/>
        <v>6.6549999999999998E-2</v>
      </c>
      <c r="K141" s="576">
        <f t="shared" si="78"/>
        <v>7.3205000000000006E-2</v>
      </c>
      <c r="L141" s="576">
        <f t="shared" si="79"/>
        <v>0</v>
      </c>
      <c r="M141" s="577">
        <f t="shared" si="75"/>
        <v>7.3205000000000006E-2</v>
      </c>
    </row>
    <row r="142" spans="1:13" s="8" customFormat="1" ht="20.100000000000001" customHeight="1">
      <c r="A142" s="568"/>
      <c r="B142" s="1450" t="s">
        <v>1203</v>
      </c>
      <c r="C142" s="1451"/>
      <c r="D142" s="1451"/>
      <c r="E142" s="1451"/>
      <c r="F142" s="1451"/>
      <c r="G142" s="1451"/>
      <c r="H142" s="1451"/>
      <c r="I142" s="1451"/>
      <c r="J142" s="1451"/>
      <c r="K142" s="1451"/>
      <c r="L142" s="1451"/>
      <c r="M142" s="1452"/>
    </row>
    <row r="143" spans="1:13" s="8" customFormat="1" ht="20.100000000000001" customHeight="1">
      <c r="A143" s="568">
        <v>11</v>
      </c>
      <c r="B143" s="569" t="s">
        <v>1204</v>
      </c>
      <c r="C143" s="578" t="s">
        <v>906</v>
      </c>
      <c r="D143" s="571" t="s">
        <v>909</v>
      </c>
      <c r="E143" s="576"/>
      <c r="F143" s="573"/>
      <c r="G143" s="574">
        <f t="shared" ref="G143:G149" si="80">E143+F143</f>
        <v>0</v>
      </c>
      <c r="H143" s="576">
        <f>84700/1000000</f>
        <v>8.4699999999999998E-2</v>
      </c>
      <c r="I143" s="573"/>
      <c r="J143" s="575">
        <f t="shared" ref="J143:J149" si="81">H143+I143</f>
        <v>8.4699999999999998E-2</v>
      </c>
      <c r="K143" s="576">
        <f t="shared" ref="K143:K149" si="82">SUM(H143*1.1)</f>
        <v>9.3170000000000003E-2</v>
      </c>
      <c r="L143" s="576">
        <f t="shared" ref="L143:L149" si="83">SUM(I143*1.1)</f>
        <v>0</v>
      </c>
      <c r="M143" s="577">
        <f t="shared" ref="M143:M149" si="84">K143+L143</f>
        <v>9.3170000000000003E-2</v>
      </c>
    </row>
    <row r="144" spans="1:13" s="8" customFormat="1" ht="20.100000000000001" customHeight="1">
      <c r="A144" s="568">
        <v>12</v>
      </c>
      <c r="B144" s="569" t="s">
        <v>1205</v>
      </c>
      <c r="C144" s="578" t="s">
        <v>906</v>
      </c>
      <c r="D144" s="571" t="s">
        <v>909</v>
      </c>
      <c r="E144" s="576"/>
      <c r="F144" s="573"/>
      <c r="G144" s="574">
        <f t="shared" si="80"/>
        <v>0</v>
      </c>
      <c r="H144" s="576">
        <f>87100/1000000</f>
        <v>8.7099999999999997E-2</v>
      </c>
      <c r="I144" s="573"/>
      <c r="J144" s="575">
        <f t="shared" si="81"/>
        <v>8.7099999999999997E-2</v>
      </c>
      <c r="K144" s="576">
        <f t="shared" si="82"/>
        <v>9.5810000000000006E-2</v>
      </c>
      <c r="L144" s="576">
        <f t="shared" si="83"/>
        <v>0</v>
      </c>
      <c r="M144" s="577">
        <f t="shared" si="84"/>
        <v>9.5810000000000006E-2</v>
      </c>
    </row>
    <row r="145" spans="1:13" s="8" customFormat="1" ht="20.100000000000001" customHeight="1">
      <c r="A145" s="568">
        <v>13</v>
      </c>
      <c r="B145" s="569" t="s">
        <v>1206</v>
      </c>
      <c r="C145" s="578" t="s">
        <v>906</v>
      </c>
      <c r="D145" s="571" t="s">
        <v>909</v>
      </c>
      <c r="E145" s="576"/>
      <c r="F145" s="573"/>
      <c r="G145" s="574">
        <f t="shared" si="80"/>
        <v>0</v>
      </c>
      <c r="H145" s="576">
        <f>84700/1000000</f>
        <v>8.4699999999999998E-2</v>
      </c>
      <c r="I145" s="573"/>
      <c r="J145" s="575">
        <f t="shared" si="81"/>
        <v>8.4699999999999998E-2</v>
      </c>
      <c r="K145" s="576">
        <f t="shared" si="82"/>
        <v>9.3170000000000003E-2</v>
      </c>
      <c r="L145" s="576">
        <f t="shared" si="83"/>
        <v>0</v>
      </c>
      <c r="M145" s="577">
        <f t="shared" si="84"/>
        <v>9.3170000000000003E-2</v>
      </c>
    </row>
    <row r="146" spans="1:13" s="8" customFormat="1" ht="20.100000000000001" customHeight="1">
      <c r="A146" s="568">
        <v>14</v>
      </c>
      <c r="B146" s="569" t="s">
        <v>1326</v>
      </c>
      <c r="C146" s="578" t="s">
        <v>906</v>
      </c>
      <c r="D146" s="571" t="s">
        <v>909</v>
      </c>
      <c r="E146" s="576"/>
      <c r="F146" s="573"/>
      <c r="G146" s="574">
        <f t="shared" si="80"/>
        <v>0</v>
      </c>
      <c r="H146" s="572">
        <f>42350/1000000</f>
        <v>4.2349999999999999E-2</v>
      </c>
      <c r="I146" s="573"/>
      <c r="J146" s="575">
        <f t="shared" si="81"/>
        <v>4.2349999999999999E-2</v>
      </c>
      <c r="K146" s="576">
        <f t="shared" si="82"/>
        <v>4.6585000000000001E-2</v>
      </c>
      <c r="L146" s="576">
        <f t="shared" si="83"/>
        <v>0</v>
      </c>
      <c r="M146" s="577">
        <f t="shared" si="84"/>
        <v>4.6585000000000001E-2</v>
      </c>
    </row>
    <row r="147" spans="1:13" s="8" customFormat="1" ht="20.100000000000001" customHeight="1">
      <c r="A147" s="568"/>
      <c r="B147" s="569" t="s">
        <v>1327</v>
      </c>
      <c r="C147" s="578" t="s">
        <v>906</v>
      </c>
      <c r="D147" s="571" t="s">
        <v>909</v>
      </c>
      <c r="E147" s="576"/>
      <c r="F147" s="573"/>
      <c r="G147" s="574">
        <f t="shared" si="80"/>
        <v>0</v>
      </c>
      <c r="H147" s="799">
        <f>84700/1000000</f>
        <v>8.4699999999999998E-2</v>
      </c>
      <c r="I147" s="573"/>
      <c r="J147" s="575">
        <f t="shared" si="81"/>
        <v>8.4699999999999998E-2</v>
      </c>
      <c r="K147" s="576">
        <f t="shared" si="82"/>
        <v>9.3170000000000003E-2</v>
      </c>
      <c r="L147" s="576"/>
      <c r="M147" s="577">
        <f t="shared" si="84"/>
        <v>9.3170000000000003E-2</v>
      </c>
    </row>
    <row r="148" spans="1:13" s="8" customFormat="1" ht="20.100000000000001" customHeight="1">
      <c r="A148" s="568">
        <v>15</v>
      </c>
      <c r="B148" s="569" t="s">
        <v>1208</v>
      </c>
      <c r="C148" s="578" t="s">
        <v>906</v>
      </c>
      <c r="D148" s="571" t="s">
        <v>909</v>
      </c>
      <c r="E148" s="576"/>
      <c r="F148" s="573"/>
      <c r="G148" s="574">
        <f t="shared" si="80"/>
        <v>0</v>
      </c>
      <c r="H148" s="576">
        <f>84700/1000000</f>
        <v>8.4699999999999998E-2</v>
      </c>
      <c r="I148" s="573"/>
      <c r="J148" s="575">
        <f t="shared" si="81"/>
        <v>8.4699999999999998E-2</v>
      </c>
      <c r="K148" s="576">
        <f t="shared" si="82"/>
        <v>9.3170000000000003E-2</v>
      </c>
      <c r="L148" s="576">
        <f t="shared" si="83"/>
        <v>0</v>
      </c>
      <c r="M148" s="577">
        <f t="shared" si="84"/>
        <v>9.3170000000000003E-2</v>
      </c>
    </row>
    <row r="149" spans="1:13" s="8" customFormat="1" ht="20.100000000000001" customHeight="1">
      <c r="A149" s="568">
        <v>17</v>
      </c>
      <c r="B149" s="579" t="s">
        <v>1210</v>
      </c>
      <c r="C149" s="578" t="s">
        <v>906</v>
      </c>
      <c r="D149" s="571" t="s">
        <v>909</v>
      </c>
      <c r="E149" s="576"/>
      <c r="F149" s="580"/>
      <c r="G149" s="581">
        <f t="shared" si="80"/>
        <v>0</v>
      </c>
      <c r="H149" s="576">
        <f>84700/1000000</f>
        <v>8.4699999999999998E-2</v>
      </c>
      <c r="I149" s="573"/>
      <c r="J149" s="582">
        <f t="shared" si="81"/>
        <v>8.4699999999999998E-2</v>
      </c>
      <c r="K149" s="576">
        <f t="shared" si="82"/>
        <v>9.3170000000000003E-2</v>
      </c>
      <c r="L149" s="576">
        <f t="shared" si="83"/>
        <v>0</v>
      </c>
      <c r="M149" s="583">
        <f t="shared" si="84"/>
        <v>9.3170000000000003E-2</v>
      </c>
    </row>
    <row r="150" spans="1:13" ht="24.95" customHeight="1">
      <c r="A150" s="584"/>
      <c r="B150" s="1453" t="s">
        <v>1211</v>
      </c>
      <c r="C150" s="1454"/>
      <c r="D150" s="1454"/>
      <c r="E150" s="1454"/>
      <c r="F150" s="1454"/>
      <c r="G150" s="1454"/>
      <c r="H150" s="1454"/>
      <c r="I150" s="1454"/>
      <c r="J150" s="1454"/>
      <c r="K150" s="1454"/>
      <c r="L150" s="1454"/>
      <c r="M150" s="1455"/>
    </row>
    <row r="151" spans="1:13" s="8" customFormat="1" ht="20.100000000000001" customHeight="1">
      <c r="A151" s="568">
        <v>18</v>
      </c>
      <c r="B151" s="569" t="s">
        <v>1212</v>
      </c>
      <c r="C151" s="578" t="s">
        <v>904</v>
      </c>
      <c r="D151" s="571" t="s">
        <v>909</v>
      </c>
      <c r="E151" s="576"/>
      <c r="F151" s="573"/>
      <c r="G151" s="574">
        <f t="shared" ref="G151:G154" si="85">E151+F151</f>
        <v>0</v>
      </c>
      <c r="H151" s="576">
        <f>48400/1000000</f>
        <v>4.8399999999999999E-2</v>
      </c>
      <c r="I151" s="573"/>
      <c r="J151" s="575">
        <f t="shared" ref="J151:J154" si="86">H151+I151</f>
        <v>4.8399999999999999E-2</v>
      </c>
      <c r="K151" s="576">
        <f t="shared" ref="K151:K154" si="87">SUM(H151*1.1)</f>
        <v>5.3240000000000003E-2</v>
      </c>
      <c r="L151" s="576">
        <f t="shared" ref="L151:L154" si="88">SUM(I151*1.1)</f>
        <v>0</v>
      </c>
      <c r="M151" s="577">
        <f t="shared" ref="M151:M154" si="89">K151+L151</f>
        <v>5.3240000000000003E-2</v>
      </c>
    </row>
    <row r="152" spans="1:13" s="8" customFormat="1" ht="20.100000000000001" customHeight="1">
      <c r="A152" s="568">
        <v>19</v>
      </c>
      <c r="B152" s="569" t="s">
        <v>1213</v>
      </c>
      <c r="C152" s="578" t="s">
        <v>904</v>
      </c>
      <c r="D152" s="571" t="s">
        <v>909</v>
      </c>
      <c r="E152" s="576"/>
      <c r="F152" s="573"/>
      <c r="G152" s="574">
        <f t="shared" si="85"/>
        <v>0</v>
      </c>
      <c r="H152" s="576">
        <f>48400/1000000</f>
        <v>4.8399999999999999E-2</v>
      </c>
      <c r="I152" s="573"/>
      <c r="J152" s="575">
        <f t="shared" si="86"/>
        <v>4.8399999999999999E-2</v>
      </c>
      <c r="K152" s="576">
        <f t="shared" si="87"/>
        <v>5.3240000000000003E-2</v>
      </c>
      <c r="L152" s="576">
        <f t="shared" si="88"/>
        <v>0</v>
      </c>
      <c r="M152" s="577">
        <f t="shared" si="89"/>
        <v>5.3240000000000003E-2</v>
      </c>
    </row>
    <row r="153" spans="1:13" s="8" customFormat="1" ht="42.75">
      <c r="A153" s="568">
        <v>22</v>
      </c>
      <c r="B153" s="569" t="s">
        <v>1216</v>
      </c>
      <c r="C153" s="578" t="s">
        <v>904</v>
      </c>
      <c r="D153" s="571" t="s">
        <v>909</v>
      </c>
      <c r="E153" s="576"/>
      <c r="F153" s="573"/>
      <c r="G153" s="574">
        <f t="shared" si="85"/>
        <v>0</v>
      </c>
      <c r="H153" s="576">
        <f>73200/1000000</f>
        <v>7.3200000000000001E-2</v>
      </c>
      <c r="I153" s="573"/>
      <c r="J153" s="575">
        <f t="shared" si="86"/>
        <v>7.3200000000000001E-2</v>
      </c>
      <c r="K153" s="576">
        <f t="shared" si="87"/>
        <v>8.0520000000000008E-2</v>
      </c>
      <c r="L153" s="576">
        <f t="shared" si="88"/>
        <v>0</v>
      </c>
      <c r="M153" s="577">
        <f t="shared" si="89"/>
        <v>8.0520000000000008E-2</v>
      </c>
    </row>
    <row r="154" spans="1:13" s="8" customFormat="1" ht="20.100000000000001" customHeight="1">
      <c r="A154" s="568">
        <v>24</v>
      </c>
      <c r="B154" s="569" t="s">
        <v>1218</v>
      </c>
      <c r="C154" s="578" t="s">
        <v>904</v>
      </c>
      <c r="D154" s="571" t="s">
        <v>909</v>
      </c>
      <c r="E154" s="576"/>
      <c r="F154" s="573"/>
      <c r="G154" s="574">
        <f t="shared" si="85"/>
        <v>0</v>
      </c>
      <c r="H154" s="576">
        <f>48400/1000000</f>
        <v>4.8399999999999999E-2</v>
      </c>
      <c r="I154" s="573"/>
      <c r="J154" s="575">
        <f t="shared" si="86"/>
        <v>4.8399999999999999E-2</v>
      </c>
      <c r="K154" s="576">
        <f t="shared" si="87"/>
        <v>5.3240000000000003E-2</v>
      </c>
      <c r="L154" s="576">
        <f t="shared" si="88"/>
        <v>0</v>
      </c>
      <c r="M154" s="577">
        <f t="shared" si="89"/>
        <v>5.3240000000000003E-2</v>
      </c>
    </row>
    <row r="155" spans="1:13" s="8" customFormat="1" ht="20.100000000000001" customHeight="1">
      <c r="A155" s="568"/>
      <c r="B155" s="1450" t="s">
        <v>1219</v>
      </c>
      <c r="C155" s="1451"/>
      <c r="D155" s="1451"/>
      <c r="E155" s="1451"/>
      <c r="F155" s="1451"/>
      <c r="G155" s="1451"/>
      <c r="H155" s="1451"/>
      <c r="I155" s="1451"/>
      <c r="J155" s="1451"/>
      <c r="K155" s="1451"/>
      <c r="L155" s="1451"/>
      <c r="M155" s="1452"/>
    </row>
    <row r="156" spans="1:13" s="8" customFormat="1" ht="20.100000000000001" customHeight="1">
      <c r="A156" s="568">
        <v>25</v>
      </c>
      <c r="B156" s="569" t="s">
        <v>1220</v>
      </c>
      <c r="C156" s="578" t="s">
        <v>904</v>
      </c>
      <c r="D156" s="571" t="s">
        <v>909</v>
      </c>
      <c r="E156" s="576"/>
      <c r="F156" s="573"/>
      <c r="G156" s="574">
        <f t="shared" ref="G156:G160" si="90">E156+F156</f>
        <v>0</v>
      </c>
      <c r="H156" s="576">
        <f>84700/1000000</f>
        <v>8.4699999999999998E-2</v>
      </c>
      <c r="I156" s="573"/>
      <c r="J156" s="575">
        <f t="shared" ref="J156:J160" si="91">H156+I156</f>
        <v>8.4699999999999998E-2</v>
      </c>
      <c r="K156" s="576">
        <f>SUM(H156*1.1)</f>
        <v>9.3170000000000003E-2</v>
      </c>
      <c r="L156" s="576">
        <f>SUM(I156*1.1)</f>
        <v>0</v>
      </c>
      <c r="M156" s="577">
        <f t="shared" ref="M156:M160" si="92">K156+L156</f>
        <v>9.3170000000000003E-2</v>
      </c>
    </row>
    <row r="157" spans="1:13" s="8" customFormat="1" ht="20.100000000000001" customHeight="1">
      <c r="A157" s="568">
        <v>26</v>
      </c>
      <c r="B157" s="569" t="s">
        <v>1221</v>
      </c>
      <c r="C157" s="578" t="s">
        <v>904</v>
      </c>
      <c r="D157" s="571" t="s">
        <v>909</v>
      </c>
      <c r="E157" s="576"/>
      <c r="F157" s="573"/>
      <c r="G157" s="574">
        <f t="shared" si="90"/>
        <v>0</v>
      </c>
      <c r="H157" s="576">
        <f>84700/1000000</f>
        <v>8.4699999999999998E-2</v>
      </c>
      <c r="I157" s="573"/>
      <c r="J157" s="575">
        <f t="shared" si="91"/>
        <v>8.4699999999999998E-2</v>
      </c>
      <c r="K157" s="576">
        <f t="shared" ref="K157:K160" si="93">SUM(H157*1.1)</f>
        <v>9.3170000000000003E-2</v>
      </c>
      <c r="L157" s="576">
        <f t="shared" ref="L157:L160" si="94">SUM(I157*1.1)</f>
        <v>0</v>
      </c>
      <c r="M157" s="577">
        <f t="shared" si="92"/>
        <v>9.3170000000000003E-2</v>
      </c>
    </row>
    <row r="158" spans="1:13" s="8" customFormat="1" ht="20.100000000000001" customHeight="1">
      <c r="A158" s="568">
        <v>27</v>
      </c>
      <c r="B158" s="569" t="s">
        <v>1222</v>
      </c>
      <c r="C158" s="578" t="s">
        <v>904</v>
      </c>
      <c r="D158" s="571" t="s">
        <v>909</v>
      </c>
      <c r="E158" s="576"/>
      <c r="F158" s="573"/>
      <c r="G158" s="574">
        <f t="shared" si="90"/>
        <v>0</v>
      </c>
      <c r="H158" s="576">
        <f>84700/1000000</f>
        <v>8.4699999999999998E-2</v>
      </c>
      <c r="I158" s="573"/>
      <c r="J158" s="575">
        <f t="shared" si="91"/>
        <v>8.4699999999999998E-2</v>
      </c>
      <c r="K158" s="576">
        <f t="shared" si="93"/>
        <v>9.3170000000000003E-2</v>
      </c>
      <c r="L158" s="576">
        <f t="shared" si="94"/>
        <v>0</v>
      </c>
      <c r="M158" s="577">
        <f t="shared" si="92"/>
        <v>9.3170000000000003E-2</v>
      </c>
    </row>
    <row r="159" spans="1:13" s="8" customFormat="1" ht="20.100000000000001" customHeight="1">
      <c r="A159" s="568">
        <v>28</v>
      </c>
      <c r="B159" s="569" t="s">
        <v>1223</v>
      </c>
      <c r="C159" s="578" t="s">
        <v>904</v>
      </c>
      <c r="D159" s="571" t="s">
        <v>909</v>
      </c>
      <c r="E159" s="576"/>
      <c r="F159" s="573"/>
      <c r="G159" s="574">
        <f t="shared" si="90"/>
        <v>0</v>
      </c>
      <c r="H159" s="576">
        <f>84700/1000000</f>
        <v>8.4699999999999998E-2</v>
      </c>
      <c r="I159" s="573"/>
      <c r="J159" s="575">
        <f t="shared" si="91"/>
        <v>8.4699999999999998E-2</v>
      </c>
      <c r="K159" s="576">
        <f t="shared" si="93"/>
        <v>9.3170000000000003E-2</v>
      </c>
      <c r="L159" s="576">
        <f t="shared" si="94"/>
        <v>0</v>
      </c>
      <c r="M159" s="577">
        <f t="shared" si="92"/>
        <v>9.3170000000000003E-2</v>
      </c>
    </row>
    <row r="160" spans="1:13" s="8" customFormat="1" ht="20.100000000000001" customHeight="1">
      <c r="A160" s="568">
        <v>29</v>
      </c>
      <c r="B160" s="569" t="s">
        <v>1224</v>
      </c>
      <c r="C160" s="578" t="s">
        <v>904</v>
      </c>
      <c r="D160" s="571" t="s">
        <v>909</v>
      </c>
      <c r="E160" s="576"/>
      <c r="F160" s="573"/>
      <c r="G160" s="574">
        <f t="shared" si="90"/>
        <v>0</v>
      </c>
      <c r="H160" s="576">
        <f>84700/1000000</f>
        <v>8.4699999999999998E-2</v>
      </c>
      <c r="I160" s="573"/>
      <c r="J160" s="575">
        <f t="shared" si="91"/>
        <v>8.4699999999999998E-2</v>
      </c>
      <c r="K160" s="576">
        <f t="shared" si="93"/>
        <v>9.3170000000000003E-2</v>
      </c>
      <c r="L160" s="576">
        <f t="shared" si="94"/>
        <v>0</v>
      </c>
      <c r="M160" s="577">
        <f t="shared" si="92"/>
        <v>9.3170000000000003E-2</v>
      </c>
    </row>
    <row r="161" spans="1:13" s="8" customFormat="1" ht="20.100000000000001" customHeight="1">
      <c r="A161" s="568"/>
      <c r="B161" s="1450" t="s">
        <v>1225</v>
      </c>
      <c r="C161" s="1451"/>
      <c r="D161" s="1451"/>
      <c r="E161" s="1451"/>
      <c r="F161" s="1451"/>
      <c r="G161" s="1451"/>
      <c r="H161" s="1451"/>
      <c r="I161" s="1451"/>
      <c r="J161" s="1451"/>
      <c r="K161" s="1451"/>
      <c r="L161" s="1451"/>
      <c r="M161" s="1452"/>
    </row>
    <row r="162" spans="1:13" s="8" customFormat="1" ht="20.100000000000001" customHeight="1">
      <c r="A162" s="568">
        <v>30</v>
      </c>
      <c r="B162" s="569" t="s">
        <v>1226</v>
      </c>
      <c r="C162" s="569" t="s">
        <v>910</v>
      </c>
      <c r="D162" s="571" t="s">
        <v>909</v>
      </c>
      <c r="E162" s="576"/>
      <c r="F162" s="573"/>
      <c r="G162" s="574">
        <f t="shared" ref="G162:G169" si="95">E162+F162</f>
        <v>0</v>
      </c>
      <c r="H162" s="576">
        <f>75000/1000000</f>
        <v>7.4999999999999997E-2</v>
      </c>
      <c r="I162" s="573"/>
      <c r="J162" s="575">
        <f t="shared" ref="J162:J169" si="96">H162+I162</f>
        <v>7.4999999999999997E-2</v>
      </c>
      <c r="K162" s="576">
        <f t="shared" ref="K162:K170" si="97">SUM(H162*1.1)</f>
        <v>8.2500000000000004E-2</v>
      </c>
      <c r="L162" s="576">
        <f t="shared" ref="L162:L170" si="98">SUM(I162*1.1)</f>
        <v>0</v>
      </c>
      <c r="M162" s="577">
        <f t="shared" ref="M162:M169" si="99">K162+L162</f>
        <v>8.2500000000000004E-2</v>
      </c>
    </row>
    <row r="163" spans="1:13" ht="20.100000000000001" customHeight="1">
      <c r="A163" s="568">
        <v>31</v>
      </c>
      <c r="B163" s="569" t="s">
        <v>1227</v>
      </c>
      <c r="C163" s="569" t="s">
        <v>910</v>
      </c>
      <c r="D163" s="571" t="s">
        <v>909</v>
      </c>
      <c r="E163" s="576"/>
      <c r="F163" s="573"/>
      <c r="G163" s="574">
        <f t="shared" si="95"/>
        <v>0</v>
      </c>
      <c r="H163" s="576">
        <f>75000/1000000</f>
        <v>7.4999999999999997E-2</v>
      </c>
      <c r="I163" s="573"/>
      <c r="J163" s="575">
        <f t="shared" si="96"/>
        <v>7.4999999999999997E-2</v>
      </c>
      <c r="K163" s="576">
        <f t="shared" si="97"/>
        <v>8.2500000000000004E-2</v>
      </c>
      <c r="L163" s="576">
        <f t="shared" si="98"/>
        <v>0</v>
      </c>
      <c r="M163" s="577">
        <f t="shared" si="99"/>
        <v>8.2500000000000004E-2</v>
      </c>
    </row>
    <row r="164" spans="1:13" s="8" customFormat="1" ht="20.100000000000001" customHeight="1">
      <c r="A164" s="568">
        <v>32</v>
      </c>
      <c r="B164" s="569" t="s">
        <v>1228</v>
      </c>
      <c r="C164" s="569" t="s">
        <v>910</v>
      </c>
      <c r="D164" s="571" t="s">
        <v>909</v>
      </c>
      <c r="E164" s="576"/>
      <c r="F164" s="573"/>
      <c r="G164" s="574">
        <f t="shared" si="95"/>
        <v>0</v>
      </c>
      <c r="H164" s="576">
        <f>70200/1000000</f>
        <v>7.0199999999999999E-2</v>
      </c>
      <c r="I164" s="573"/>
      <c r="J164" s="575">
        <f t="shared" si="96"/>
        <v>7.0199999999999999E-2</v>
      </c>
      <c r="K164" s="576">
        <f t="shared" si="97"/>
        <v>7.7220000000000011E-2</v>
      </c>
      <c r="L164" s="576">
        <f t="shared" si="98"/>
        <v>0</v>
      </c>
      <c r="M164" s="577">
        <f t="shared" si="99"/>
        <v>7.7220000000000011E-2</v>
      </c>
    </row>
    <row r="165" spans="1:13" s="8" customFormat="1" ht="20.100000000000001" customHeight="1">
      <c r="A165" s="568">
        <v>33</v>
      </c>
      <c r="B165" s="569" t="s">
        <v>1229</v>
      </c>
      <c r="C165" s="569" t="s">
        <v>910</v>
      </c>
      <c r="D165" s="571" t="s">
        <v>909</v>
      </c>
      <c r="E165" s="576"/>
      <c r="F165" s="573"/>
      <c r="G165" s="574">
        <f t="shared" si="95"/>
        <v>0</v>
      </c>
      <c r="H165" s="576">
        <f>69000/1000000</f>
        <v>6.9000000000000006E-2</v>
      </c>
      <c r="I165" s="573"/>
      <c r="J165" s="575">
        <f t="shared" si="96"/>
        <v>6.9000000000000006E-2</v>
      </c>
      <c r="K165" s="576">
        <f t="shared" si="97"/>
        <v>7.5900000000000009E-2</v>
      </c>
      <c r="L165" s="576">
        <f t="shared" si="98"/>
        <v>0</v>
      </c>
      <c r="M165" s="577">
        <f t="shared" si="99"/>
        <v>7.5900000000000009E-2</v>
      </c>
    </row>
    <row r="166" spans="1:13" s="8" customFormat="1" ht="20.100000000000001" customHeight="1">
      <c r="A166" s="568">
        <v>34</v>
      </c>
      <c r="B166" s="569" t="s">
        <v>1328</v>
      </c>
      <c r="C166" s="569" t="s">
        <v>910</v>
      </c>
      <c r="D166" s="571" t="s">
        <v>909</v>
      </c>
      <c r="E166" s="576"/>
      <c r="F166" s="573"/>
      <c r="G166" s="574">
        <f t="shared" si="95"/>
        <v>0</v>
      </c>
      <c r="H166" s="576">
        <f>75000/1000000</f>
        <v>7.4999999999999997E-2</v>
      </c>
      <c r="I166" s="573"/>
      <c r="J166" s="575">
        <f t="shared" si="96"/>
        <v>7.4999999999999997E-2</v>
      </c>
      <c r="K166" s="576">
        <f t="shared" si="97"/>
        <v>8.2500000000000004E-2</v>
      </c>
      <c r="L166" s="576">
        <f t="shared" si="98"/>
        <v>0</v>
      </c>
      <c r="M166" s="577">
        <f t="shared" si="99"/>
        <v>8.2500000000000004E-2</v>
      </c>
    </row>
    <row r="167" spans="1:13" s="8" customFormat="1" ht="20.100000000000001" customHeight="1">
      <c r="A167" s="568">
        <v>35</v>
      </c>
      <c r="B167" s="569" t="s">
        <v>1231</v>
      </c>
      <c r="C167" s="569" t="s">
        <v>910</v>
      </c>
      <c r="D167" s="571" t="s">
        <v>909</v>
      </c>
      <c r="E167" s="576"/>
      <c r="F167" s="573"/>
      <c r="G167" s="574">
        <f t="shared" si="95"/>
        <v>0</v>
      </c>
      <c r="H167" s="576">
        <f>70200/1000000</f>
        <v>7.0199999999999999E-2</v>
      </c>
      <c r="I167" s="573"/>
      <c r="J167" s="575">
        <f t="shared" si="96"/>
        <v>7.0199999999999999E-2</v>
      </c>
      <c r="K167" s="576">
        <f t="shared" si="97"/>
        <v>7.7220000000000011E-2</v>
      </c>
      <c r="L167" s="576">
        <f t="shared" si="98"/>
        <v>0</v>
      </c>
      <c r="M167" s="577">
        <f t="shared" si="99"/>
        <v>7.7220000000000011E-2</v>
      </c>
    </row>
    <row r="168" spans="1:13" s="8" customFormat="1" ht="20.100000000000001" customHeight="1">
      <c r="A168" s="568">
        <v>36</v>
      </c>
      <c r="B168" s="569" t="s">
        <v>1232</v>
      </c>
      <c r="C168" s="569" t="s">
        <v>910</v>
      </c>
      <c r="D168" s="571" t="s">
        <v>909</v>
      </c>
      <c r="E168" s="576"/>
      <c r="F168" s="573"/>
      <c r="G168" s="574">
        <f t="shared" si="95"/>
        <v>0</v>
      </c>
      <c r="H168" s="576">
        <f>36300/1000000</f>
        <v>3.6299999999999999E-2</v>
      </c>
      <c r="I168" s="573"/>
      <c r="J168" s="575">
        <f t="shared" si="96"/>
        <v>3.6299999999999999E-2</v>
      </c>
      <c r="K168" s="576">
        <f t="shared" si="97"/>
        <v>3.993E-2</v>
      </c>
      <c r="L168" s="576">
        <f t="shared" si="98"/>
        <v>0</v>
      </c>
      <c r="M168" s="577">
        <f t="shared" si="99"/>
        <v>3.993E-2</v>
      </c>
    </row>
    <row r="169" spans="1:13" s="8" customFormat="1" ht="20.100000000000001" customHeight="1">
      <c r="A169" s="568">
        <v>39</v>
      </c>
      <c r="B169" s="569" t="s">
        <v>1235</v>
      </c>
      <c r="C169" s="569" t="s">
        <v>910</v>
      </c>
      <c r="D169" s="571" t="s">
        <v>909</v>
      </c>
      <c r="E169" s="576"/>
      <c r="F169" s="573"/>
      <c r="G169" s="574">
        <f t="shared" si="95"/>
        <v>0</v>
      </c>
      <c r="H169" s="576">
        <f>69000/1000000</f>
        <v>6.9000000000000006E-2</v>
      </c>
      <c r="I169" s="573"/>
      <c r="J169" s="575">
        <f t="shared" si="96"/>
        <v>6.9000000000000006E-2</v>
      </c>
      <c r="K169" s="576">
        <f t="shared" si="97"/>
        <v>7.5900000000000009E-2</v>
      </c>
      <c r="L169" s="576">
        <f t="shared" si="98"/>
        <v>0</v>
      </c>
      <c r="M169" s="577">
        <f t="shared" si="99"/>
        <v>7.5900000000000009E-2</v>
      </c>
    </row>
    <row r="170" spans="1:13" ht="20.100000000000001" customHeight="1">
      <c r="A170" s="568"/>
      <c r="B170" s="569" t="s">
        <v>1236</v>
      </c>
      <c r="C170" s="569" t="s">
        <v>910</v>
      </c>
      <c r="D170" s="571" t="s">
        <v>909</v>
      </c>
      <c r="E170" s="576"/>
      <c r="F170" s="573"/>
      <c r="G170" s="574">
        <f>E170+F170</f>
        <v>0</v>
      </c>
      <c r="H170" s="576">
        <f>70200/1000000</f>
        <v>7.0199999999999999E-2</v>
      </c>
      <c r="I170" s="573"/>
      <c r="J170" s="575">
        <f>H170+I170</f>
        <v>7.0199999999999999E-2</v>
      </c>
      <c r="K170" s="576">
        <f t="shared" si="97"/>
        <v>7.7220000000000011E-2</v>
      </c>
      <c r="L170" s="576">
        <f t="shared" si="98"/>
        <v>0</v>
      </c>
      <c r="M170" s="577">
        <f>K170+L170</f>
        <v>7.7220000000000011E-2</v>
      </c>
    </row>
    <row r="171" spans="1:13" s="8" customFormat="1" ht="20.100000000000001" customHeight="1">
      <c r="A171" s="1456" t="s">
        <v>1329</v>
      </c>
      <c r="B171" s="1457"/>
      <c r="C171" s="1457"/>
      <c r="D171" s="1457"/>
      <c r="E171" s="1457"/>
      <c r="F171" s="1457"/>
      <c r="G171" s="1457"/>
      <c r="H171" s="1457"/>
      <c r="I171" s="1457"/>
      <c r="J171" s="1457"/>
      <c r="K171" s="1457"/>
      <c r="L171" s="1457"/>
      <c r="M171" s="1458"/>
    </row>
    <row r="172" spans="1:13" s="8" customFormat="1" ht="20.100000000000001" customHeight="1">
      <c r="A172" s="568"/>
      <c r="B172" s="1459" t="s">
        <v>1191</v>
      </c>
      <c r="C172" s="1460"/>
      <c r="D172" s="1460"/>
      <c r="E172" s="1460"/>
      <c r="F172" s="1460"/>
      <c r="G172" s="1460"/>
      <c r="H172" s="1460"/>
      <c r="I172" s="1460"/>
      <c r="J172" s="1460"/>
      <c r="K172" s="1460"/>
      <c r="L172" s="1460"/>
      <c r="M172" s="1461"/>
    </row>
    <row r="173" spans="1:13" s="8" customFormat="1" ht="20.100000000000001" customHeight="1">
      <c r="A173" s="568"/>
      <c r="B173" s="569" t="s">
        <v>1272</v>
      </c>
      <c r="C173" s="578" t="s">
        <v>913</v>
      </c>
      <c r="D173" s="571" t="s">
        <v>909</v>
      </c>
      <c r="E173" s="576"/>
      <c r="F173" s="573"/>
      <c r="G173" s="574">
        <f t="shared" ref="G173:G176" si="100">E173+F173</f>
        <v>0</v>
      </c>
      <c r="H173" s="576">
        <f>42000/1000000</f>
        <v>4.2000000000000003E-2</v>
      </c>
      <c r="I173" s="573"/>
      <c r="J173" s="575">
        <f t="shared" ref="J173:J176" si="101">H173+I173</f>
        <v>4.2000000000000003E-2</v>
      </c>
      <c r="K173" s="576">
        <f>SUM(H173*1.1)</f>
        <v>4.6200000000000005E-2</v>
      </c>
      <c r="L173" s="576">
        <f>SUM(I173*1.1)</f>
        <v>0</v>
      </c>
      <c r="M173" s="577">
        <f t="shared" ref="M173:M176" si="102">K173+L173</f>
        <v>4.6200000000000005E-2</v>
      </c>
    </row>
    <row r="174" spans="1:13" s="8" customFormat="1" ht="20.100000000000001" customHeight="1">
      <c r="A174" s="568"/>
      <c r="B174" s="569" t="s">
        <v>1273</v>
      </c>
      <c r="C174" s="585" t="s">
        <v>913</v>
      </c>
      <c r="D174" s="571" t="s">
        <v>909</v>
      </c>
      <c r="E174" s="576"/>
      <c r="F174" s="573"/>
      <c r="G174" s="574">
        <f t="shared" si="100"/>
        <v>0</v>
      </c>
      <c r="H174" s="576">
        <f>35000/1000000</f>
        <v>3.5000000000000003E-2</v>
      </c>
      <c r="I174" s="573"/>
      <c r="J174" s="575">
        <f t="shared" si="101"/>
        <v>3.5000000000000003E-2</v>
      </c>
      <c r="K174" s="576">
        <f t="shared" ref="K174:K176" si="103">SUM(H174*1.1)</f>
        <v>3.8500000000000006E-2</v>
      </c>
      <c r="L174" s="576">
        <f t="shared" ref="L174:L176" si="104">SUM(I174*1.1)</f>
        <v>0</v>
      </c>
      <c r="M174" s="577">
        <f t="shared" si="102"/>
        <v>3.8500000000000006E-2</v>
      </c>
    </row>
    <row r="175" spans="1:13" s="8" customFormat="1" ht="20.100000000000001" customHeight="1">
      <c r="A175" s="568"/>
      <c r="B175" s="569" t="s">
        <v>1274</v>
      </c>
      <c r="C175" s="585" t="s">
        <v>913</v>
      </c>
      <c r="D175" s="571" t="s">
        <v>909</v>
      </c>
      <c r="E175" s="576"/>
      <c r="F175" s="573"/>
      <c r="G175" s="574">
        <f t="shared" si="100"/>
        <v>0</v>
      </c>
      <c r="H175" s="576">
        <f>45000/1000000</f>
        <v>4.4999999999999998E-2</v>
      </c>
      <c r="I175" s="573"/>
      <c r="J175" s="575">
        <f t="shared" si="101"/>
        <v>4.4999999999999998E-2</v>
      </c>
      <c r="K175" s="576">
        <f t="shared" si="103"/>
        <v>4.9500000000000002E-2</v>
      </c>
      <c r="L175" s="576">
        <f t="shared" si="104"/>
        <v>0</v>
      </c>
      <c r="M175" s="577">
        <f t="shared" si="102"/>
        <v>4.9500000000000002E-2</v>
      </c>
    </row>
    <row r="176" spans="1:13" s="8" customFormat="1" ht="20.100000000000001" customHeight="1">
      <c r="A176" s="568"/>
      <c r="B176" s="569" t="s">
        <v>1275</v>
      </c>
      <c r="C176" s="585" t="s">
        <v>913</v>
      </c>
      <c r="D176" s="571" t="s">
        <v>909</v>
      </c>
      <c r="E176" s="576"/>
      <c r="F176" s="573"/>
      <c r="G176" s="574">
        <f t="shared" si="100"/>
        <v>0</v>
      </c>
      <c r="H176" s="576">
        <f>35000/1000000</f>
        <v>3.5000000000000003E-2</v>
      </c>
      <c r="I176" s="573"/>
      <c r="J176" s="575">
        <f t="shared" si="101"/>
        <v>3.5000000000000003E-2</v>
      </c>
      <c r="K176" s="576">
        <f t="shared" si="103"/>
        <v>3.8500000000000006E-2</v>
      </c>
      <c r="L176" s="576">
        <f t="shared" si="104"/>
        <v>0</v>
      </c>
      <c r="M176" s="577">
        <f t="shared" si="102"/>
        <v>3.8500000000000006E-2</v>
      </c>
    </row>
    <row r="177" spans="1:13" ht="15">
      <c r="A177" s="568"/>
      <c r="B177" s="1450" t="s">
        <v>1197</v>
      </c>
      <c r="C177" s="1451"/>
      <c r="D177" s="1451"/>
      <c r="E177" s="1451"/>
      <c r="F177" s="1451"/>
      <c r="G177" s="1451"/>
      <c r="H177" s="1451"/>
      <c r="I177" s="1451"/>
      <c r="J177" s="1451"/>
      <c r="K177" s="1451"/>
      <c r="L177" s="1451"/>
      <c r="M177" s="1452"/>
    </row>
    <row r="178" spans="1:13" ht="42.75">
      <c r="A178" s="568"/>
      <c r="B178" s="569" t="s">
        <v>1240</v>
      </c>
      <c r="C178" s="585" t="s">
        <v>913</v>
      </c>
      <c r="D178" s="571" t="s">
        <v>909</v>
      </c>
      <c r="E178" s="576"/>
      <c r="F178" s="573"/>
      <c r="G178" s="574">
        <f t="shared" ref="G178:G179" si="105">E178+F178</f>
        <v>0</v>
      </c>
      <c r="H178" s="576">
        <f>35000/1000000</f>
        <v>3.5000000000000003E-2</v>
      </c>
      <c r="I178" s="573"/>
      <c r="J178" s="575">
        <f t="shared" ref="J178:J179" si="106">H178+I178</f>
        <v>3.5000000000000003E-2</v>
      </c>
      <c r="K178" s="576">
        <f>SUM(H178*1.1)</f>
        <v>3.8500000000000006E-2</v>
      </c>
      <c r="L178" s="576">
        <f>SUM(I178*1.1)</f>
        <v>0</v>
      </c>
      <c r="M178" s="577">
        <f t="shared" ref="M178:M179" si="107">K178+L178</f>
        <v>3.8500000000000006E-2</v>
      </c>
    </row>
    <row r="179" spans="1:13" ht="42.75">
      <c r="A179" s="568"/>
      <c r="B179" s="599" t="s">
        <v>1276</v>
      </c>
      <c r="C179" s="585" t="s">
        <v>913</v>
      </c>
      <c r="D179" s="571" t="s">
        <v>909</v>
      </c>
      <c r="E179" s="576"/>
      <c r="F179" s="600"/>
      <c r="G179" s="574">
        <f t="shared" si="105"/>
        <v>0</v>
      </c>
      <c r="H179" s="576">
        <f>35000/1000000</f>
        <v>3.5000000000000003E-2</v>
      </c>
      <c r="I179" s="573"/>
      <c r="J179" s="575">
        <f t="shared" si="106"/>
        <v>3.5000000000000003E-2</v>
      </c>
      <c r="K179" s="576">
        <f>SUM(H179*1.1)</f>
        <v>3.8500000000000006E-2</v>
      </c>
      <c r="L179" s="576">
        <f>SUM(I179*1.1)</f>
        <v>0</v>
      </c>
      <c r="M179" s="577">
        <f t="shared" si="107"/>
        <v>3.8500000000000006E-2</v>
      </c>
    </row>
    <row r="180" spans="1:13" ht="15">
      <c r="A180" s="568"/>
      <c r="B180" s="1450" t="s">
        <v>1203</v>
      </c>
      <c r="C180" s="1451"/>
      <c r="D180" s="1451"/>
      <c r="E180" s="1451"/>
      <c r="F180" s="1451"/>
      <c r="G180" s="1451"/>
      <c r="H180" s="1451"/>
      <c r="I180" s="1451"/>
      <c r="J180" s="1451"/>
      <c r="K180" s="1451"/>
      <c r="L180" s="1451"/>
      <c r="M180" s="1452"/>
    </row>
    <row r="181" spans="1:13" ht="42.75">
      <c r="A181" s="568"/>
      <c r="B181" s="569" t="s">
        <v>1241</v>
      </c>
      <c r="C181" s="578" t="s">
        <v>906</v>
      </c>
      <c r="D181" s="571" t="s">
        <v>909</v>
      </c>
      <c r="E181" s="576"/>
      <c r="F181" s="573"/>
      <c r="G181" s="574">
        <f t="shared" ref="G181:G191" si="108">E181+F181</f>
        <v>0</v>
      </c>
      <c r="H181" s="576">
        <f>45000/1000000</f>
        <v>4.4999999999999998E-2</v>
      </c>
      <c r="I181" s="573"/>
      <c r="J181" s="575">
        <f t="shared" ref="J181:J191" si="109">H181+I181</f>
        <v>4.4999999999999998E-2</v>
      </c>
      <c r="K181" s="576">
        <f t="shared" ref="K181:K191" si="110">SUM(H181*1.1)</f>
        <v>4.9500000000000002E-2</v>
      </c>
      <c r="L181" s="576">
        <f t="shared" ref="L181:L191" si="111">SUM(I181*1.1)</f>
        <v>0</v>
      </c>
      <c r="M181" s="577">
        <f t="shared" ref="M181:M191" si="112">K181+L181</f>
        <v>4.9500000000000002E-2</v>
      </c>
    </row>
    <row r="182" spans="1:13" ht="42.75">
      <c r="A182" s="568"/>
      <c r="B182" s="569" t="s">
        <v>1242</v>
      </c>
      <c r="C182" s="578" t="s">
        <v>906</v>
      </c>
      <c r="D182" s="571" t="s">
        <v>909</v>
      </c>
      <c r="E182" s="576"/>
      <c r="F182" s="573"/>
      <c r="G182" s="574">
        <f t="shared" si="108"/>
        <v>0</v>
      </c>
      <c r="H182" s="576">
        <f>45000/1000000</f>
        <v>4.4999999999999998E-2</v>
      </c>
      <c r="I182" s="573"/>
      <c r="J182" s="575">
        <f t="shared" si="109"/>
        <v>4.4999999999999998E-2</v>
      </c>
      <c r="K182" s="576">
        <f t="shared" si="110"/>
        <v>4.9500000000000002E-2</v>
      </c>
      <c r="L182" s="576">
        <f t="shared" si="111"/>
        <v>0</v>
      </c>
      <c r="M182" s="577">
        <f t="shared" si="112"/>
        <v>4.9500000000000002E-2</v>
      </c>
    </row>
    <row r="183" spans="1:13" ht="42.75">
      <c r="A183" s="568"/>
      <c r="B183" s="569" t="s">
        <v>1243</v>
      </c>
      <c r="C183" s="578" t="s">
        <v>906</v>
      </c>
      <c r="D183" s="571" t="s">
        <v>909</v>
      </c>
      <c r="E183" s="576"/>
      <c r="F183" s="573"/>
      <c r="G183" s="574">
        <f t="shared" si="108"/>
        <v>0</v>
      </c>
      <c r="H183" s="576">
        <f>45000/1000000</f>
        <v>4.4999999999999998E-2</v>
      </c>
      <c r="I183" s="573"/>
      <c r="J183" s="575">
        <f t="shared" si="109"/>
        <v>4.4999999999999998E-2</v>
      </c>
      <c r="K183" s="576">
        <f t="shared" si="110"/>
        <v>4.9500000000000002E-2</v>
      </c>
      <c r="L183" s="576">
        <f t="shared" si="111"/>
        <v>0</v>
      </c>
      <c r="M183" s="577">
        <f t="shared" si="112"/>
        <v>4.9500000000000002E-2</v>
      </c>
    </row>
    <row r="184" spans="1:13" ht="42.75">
      <c r="A184" s="568"/>
      <c r="B184" s="569" t="s">
        <v>1244</v>
      </c>
      <c r="C184" s="578" t="s">
        <v>906</v>
      </c>
      <c r="D184" s="571" t="s">
        <v>909</v>
      </c>
      <c r="E184" s="576"/>
      <c r="F184" s="573"/>
      <c r="G184" s="574">
        <f t="shared" si="108"/>
        <v>0</v>
      </c>
      <c r="H184" s="576">
        <f>45000/1000000</f>
        <v>4.4999999999999998E-2</v>
      </c>
      <c r="I184" s="573"/>
      <c r="J184" s="575">
        <f t="shared" si="109"/>
        <v>4.4999999999999998E-2</v>
      </c>
      <c r="K184" s="576">
        <f t="shared" si="110"/>
        <v>4.9500000000000002E-2</v>
      </c>
      <c r="L184" s="576">
        <f t="shared" si="111"/>
        <v>0</v>
      </c>
      <c r="M184" s="577">
        <f t="shared" si="112"/>
        <v>4.9500000000000002E-2</v>
      </c>
    </row>
    <row r="185" spans="1:13" ht="42.75">
      <c r="A185" s="568"/>
      <c r="B185" s="569" t="s">
        <v>1245</v>
      </c>
      <c r="C185" s="578" t="s">
        <v>906</v>
      </c>
      <c r="D185" s="571" t="s">
        <v>909</v>
      </c>
      <c r="E185" s="576"/>
      <c r="F185" s="573"/>
      <c r="G185" s="574">
        <f t="shared" si="108"/>
        <v>0</v>
      </c>
      <c r="H185" s="576">
        <f>45000/1000000</f>
        <v>4.4999999999999998E-2</v>
      </c>
      <c r="I185" s="573"/>
      <c r="J185" s="575">
        <f t="shared" si="109"/>
        <v>4.4999999999999998E-2</v>
      </c>
      <c r="K185" s="576">
        <f t="shared" si="110"/>
        <v>4.9500000000000002E-2</v>
      </c>
      <c r="L185" s="576">
        <f t="shared" si="111"/>
        <v>0</v>
      </c>
      <c r="M185" s="577">
        <f t="shared" si="112"/>
        <v>4.9500000000000002E-2</v>
      </c>
    </row>
    <row r="186" spans="1:13" ht="42.75">
      <c r="A186" s="568"/>
      <c r="B186" s="569" t="s">
        <v>1246</v>
      </c>
      <c r="C186" s="578" t="s">
        <v>906</v>
      </c>
      <c r="D186" s="571" t="s">
        <v>909</v>
      </c>
      <c r="E186" s="576"/>
      <c r="F186" s="573"/>
      <c r="G186" s="574">
        <f t="shared" si="108"/>
        <v>0</v>
      </c>
      <c r="H186" s="576">
        <f>90000/1000000</f>
        <v>0.09</v>
      </c>
      <c r="I186" s="573"/>
      <c r="J186" s="575">
        <f t="shared" si="109"/>
        <v>0.09</v>
      </c>
      <c r="K186" s="576">
        <f t="shared" si="110"/>
        <v>9.9000000000000005E-2</v>
      </c>
      <c r="L186" s="576">
        <f t="shared" si="111"/>
        <v>0</v>
      </c>
      <c r="M186" s="577">
        <f t="shared" si="112"/>
        <v>9.9000000000000005E-2</v>
      </c>
    </row>
    <row r="187" spans="1:13" ht="42.75">
      <c r="A187" s="568"/>
      <c r="B187" s="569" t="s">
        <v>1247</v>
      </c>
      <c r="C187" s="578" t="s">
        <v>906</v>
      </c>
      <c r="D187" s="571" t="s">
        <v>909</v>
      </c>
      <c r="E187" s="576"/>
      <c r="F187" s="573"/>
      <c r="G187" s="574">
        <f t="shared" si="108"/>
        <v>0</v>
      </c>
      <c r="H187" s="576">
        <f>45000/1000000</f>
        <v>4.4999999999999998E-2</v>
      </c>
      <c r="I187" s="573"/>
      <c r="J187" s="575">
        <f t="shared" si="109"/>
        <v>4.4999999999999998E-2</v>
      </c>
      <c r="K187" s="576">
        <f t="shared" si="110"/>
        <v>4.9500000000000002E-2</v>
      </c>
      <c r="L187" s="576">
        <f t="shared" si="111"/>
        <v>0</v>
      </c>
      <c r="M187" s="577">
        <f t="shared" si="112"/>
        <v>4.9500000000000002E-2</v>
      </c>
    </row>
    <row r="188" spans="1:13" ht="42.75">
      <c r="A188" s="568"/>
      <c r="B188" s="569" t="s">
        <v>1248</v>
      </c>
      <c r="C188" s="578" t="s">
        <v>906</v>
      </c>
      <c r="D188" s="571" t="s">
        <v>909</v>
      </c>
      <c r="E188" s="576"/>
      <c r="F188" s="573"/>
      <c r="G188" s="574">
        <f t="shared" si="108"/>
        <v>0</v>
      </c>
      <c r="H188" s="576">
        <f>45000/100000</f>
        <v>0.45</v>
      </c>
      <c r="I188" s="573"/>
      <c r="J188" s="575">
        <f t="shared" si="109"/>
        <v>0.45</v>
      </c>
      <c r="K188" s="576">
        <f t="shared" si="110"/>
        <v>0.49500000000000005</v>
      </c>
      <c r="L188" s="576">
        <f t="shared" si="111"/>
        <v>0</v>
      </c>
      <c r="M188" s="577">
        <f t="shared" si="112"/>
        <v>0.49500000000000005</v>
      </c>
    </row>
    <row r="189" spans="1:13" ht="42.75">
      <c r="A189" s="568"/>
      <c r="B189" s="569" t="s">
        <v>1249</v>
      </c>
      <c r="C189" s="578" t="s">
        <v>906</v>
      </c>
      <c r="D189" s="571" t="s">
        <v>909</v>
      </c>
      <c r="E189" s="576"/>
      <c r="F189" s="573"/>
      <c r="G189" s="574">
        <f t="shared" si="108"/>
        <v>0</v>
      </c>
      <c r="H189" s="576">
        <f>120000/1000000</f>
        <v>0.12</v>
      </c>
      <c r="I189" s="573"/>
      <c r="J189" s="575">
        <f t="shared" si="109"/>
        <v>0.12</v>
      </c>
      <c r="K189" s="576">
        <f t="shared" si="110"/>
        <v>0.13200000000000001</v>
      </c>
      <c r="L189" s="576">
        <f t="shared" si="111"/>
        <v>0</v>
      </c>
      <c r="M189" s="577">
        <f t="shared" si="112"/>
        <v>0.13200000000000001</v>
      </c>
    </row>
    <row r="190" spans="1:13" ht="42.75">
      <c r="A190" s="568"/>
      <c r="B190" s="569" t="s">
        <v>1250</v>
      </c>
      <c r="C190" s="578" t="s">
        <v>906</v>
      </c>
      <c r="D190" s="571" t="s">
        <v>909</v>
      </c>
      <c r="E190" s="576"/>
      <c r="F190" s="573"/>
      <c r="G190" s="574">
        <f t="shared" si="108"/>
        <v>0</v>
      </c>
      <c r="H190" s="576">
        <f>45000/1000000</f>
        <v>4.4999999999999998E-2</v>
      </c>
      <c r="I190" s="573"/>
      <c r="J190" s="575">
        <f t="shared" si="109"/>
        <v>4.4999999999999998E-2</v>
      </c>
      <c r="K190" s="576">
        <f t="shared" si="110"/>
        <v>4.9500000000000002E-2</v>
      </c>
      <c r="L190" s="576">
        <f t="shared" si="111"/>
        <v>0</v>
      </c>
      <c r="M190" s="577">
        <f t="shared" si="112"/>
        <v>4.9500000000000002E-2</v>
      </c>
    </row>
    <row r="191" spans="1:13" ht="42.75">
      <c r="A191" s="568"/>
      <c r="B191" s="569" t="s">
        <v>1251</v>
      </c>
      <c r="C191" s="578" t="s">
        <v>906</v>
      </c>
      <c r="D191" s="571" t="s">
        <v>909</v>
      </c>
      <c r="E191" s="576"/>
      <c r="F191" s="573"/>
      <c r="G191" s="574">
        <f t="shared" si="108"/>
        <v>0</v>
      </c>
      <c r="H191" s="576">
        <f>45000/1000000</f>
        <v>4.4999999999999998E-2</v>
      </c>
      <c r="I191" s="573"/>
      <c r="J191" s="575">
        <f t="shared" si="109"/>
        <v>4.4999999999999998E-2</v>
      </c>
      <c r="K191" s="576">
        <f t="shared" si="110"/>
        <v>4.9500000000000002E-2</v>
      </c>
      <c r="L191" s="576">
        <f t="shared" si="111"/>
        <v>0</v>
      </c>
      <c r="M191" s="577">
        <f t="shared" si="112"/>
        <v>4.9500000000000002E-2</v>
      </c>
    </row>
    <row r="192" spans="1:13" ht="15">
      <c r="A192" s="568"/>
      <c r="B192" s="1450" t="s">
        <v>1211</v>
      </c>
      <c r="C192" s="1451"/>
      <c r="D192" s="1451"/>
      <c r="E192" s="1451"/>
      <c r="F192" s="1451"/>
      <c r="G192" s="1451"/>
      <c r="H192" s="1451"/>
      <c r="I192" s="1451"/>
      <c r="J192" s="1451"/>
      <c r="K192" s="1451"/>
      <c r="L192" s="1451"/>
      <c r="M192" s="1452"/>
    </row>
    <row r="193" spans="1:13" ht="42.75">
      <c r="A193" s="568"/>
      <c r="B193" s="569" t="s">
        <v>1252</v>
      </c>
      <c r="C193" s="578" t="s">
        <v>904</v>
      </c>
      <c r="D193" s="571" t="s">
        <v>909</v>
      </c>
      <c r="E193" s="576"/>
      <c r="F193" s="573"/>
      <c r="G193" s="574">
        <f t="shared" ref="G193:G195" si="113">E193+F193</f>
        <v>0</v>
      </c>
      <c r="H193" s="576">
        <f>45000/1000000</f>
        <v>4.4999999999999998E-2</v>
      </c>
      <c r="I193" s="573"/>
      <c r="J193" s="575">
        <f t="shared" ref="J193:J195" si="114">H193+I193</f>
        <v>4.4999999999999998E-2</v>
      </c>
      <c r="K193" s="576">
        <f>SUM(H193*1.1)</f>
        <v>4.9500000000000002E-2</v>
      </c>
      <c r="L193" s="576">
        <f>SUM(I193*1.1)</f>
        <v>0</v>
      </c>
      <c r="M193" s="577">
        <f t="shared" ref="M193:M195" si="115">K193+L193</f>
        <v>4.9500000000000002E-2</v>
      </c>
    </row>
    <row r="194" spans="1:13" ht="42.75">
      <c r="A194" s="568"/>
      <c r="B194" s="569" t="s">
        <v>1253</v>
      </c>
      <c r="C194" s="578" t="s">
        <v>904</v>
      </c>
      <c r="D194" s="571" t="s">
        <v>909</v>
      </c>
      <c r="E194" s="576"/>
      <c r="F194" s="573"/>
      <c r="G194" s="574">
        <f t="shared" si="113"/>
        <v>0</v>
      </c>
      <c r="H194" s="576">
        <f>45000/1000000</f>
        <v>4.4999999999999998E-2</v>
      </c>
      <c r="I194" s="573"/>
      <c r="J194" s="575">
        <f t="shared" si="114"/>
        <v>4.4999999999999998E-2</v>
      </c>
      <c r="K194" s="576">
        <f t="shared" ref="K194:K195" si="116">SUM(H194*1.1)</f>
        <v>4.9500000000000002E-2</v>
      </c>
      <c r="L194" s="576">
        <f t="shared" ref="L194:L195" si="117">SUM(I194*1.1)</f>
        <v>0</v>
      </c>
      <c r="M194" s="577">
        <f t="shared" si="115"/>
        <v>4.9500000000000002E-2</v>
      </c>
    </row>
    <row r="195" spans="1:13" ht="42.75">
      <c r="A195" s="568"/>
      <c r="B195" s="569" t="s">
        <v>1254</v>
      </c>
      <c r="C195" s="578" t="s">
        <v>904</v>
      </c>
      <c r="D195" s="571" t="s">
        <v>909</v>
      </c>
      <c r="E195" s="576"/>
      <c r="F195" s="573"/>
      <c r="G195" s="574">
        <f t="shared" si="113"/>
        <v>0</v>
      </c>
      <c r="H195" s="576">
        <f>45000/1000000</f>
        <v>4.4999999999999998E-2</v>
      </c>
      <c r="I195" s="573"/>
      <c r="J195" s="575">
        <f t="shared" si="114"/>
        <v>4.4999999999999998E-2</v>
      </c>
      <c r="K195" s="576">
        <f t="shared" si="116"/>
        <v>4.9500000000000002E-2</v>
      </c>
      <c r="L195" s="576">
        <f t="shared" si="117"/>
        <v>0</v>
      </c>
      <c r="M195" s="577">
        <f t="shared" si="115"/>
        <v>4.9500000000000002E-2</v>
      </c>
    </row>
    <row r="196" spans="1:13" ht="15">
      <c r="A196" s="568"/>
      <c r="B196" s="1450" t="s">
        <v>1219</v>
      </c>
      <c r="C196" s="1451"/>
      <c r="D196" s="1451"/>
      <c r="E196" s="1451"/>
      <c r="F196" s="1451"/>
      <c r="G196" s="1451"/>
      <c r="H196" s="1451"/>
      <c r="I196" s="1451"/>
      <c r="J196" s="1451"/>
      <c r="K196" s="1451"/>
      <c r="L196" s="1451"/>
      <c r="M196" s="1452"/>
    </row>
    <row r="197" spans="1:13" ht="42.75">
      <c r="A197" s="568"/>
      <c r="B197" s="569" t="s">
        <v>1256</v>
      </c>
      <c r="C197" s="578" t="s">
        <v>904</v>
      </c>
      <c r="D197" s="571" t="s">
        <v>909</v>
      </c>
      <c r="E197" s="576"/>
      <c r="F197" s="573"/>
      <c r="G197" s="574">
        <f t="shared" ref="G197:G203" si="118">E197+F197</f>
        <v>0</v>
      </c>
      <c r="H197" s="576">
        <f t="shared" ref="H197:H204" si="119">45000/1000000</f>
        <v>4.4999999999999998E-2</v>
      </c>
      <c r="I197" s="573"/>
      <c r="J197" s="575">
        <f t="shared" ref="J197:J204" si="120">H197+I197</f>
        <v>4.4999999999999998E-2</v>
      </c>
      <c r="K197" s="576">
        <f>SUM(H197*1.1)</f>
        <v>4.9500000000000002E-2</v>
      </c>
      <c r="L197" s="576">
        <f>SUM(I197*1.1)</f>
        <v>0</v>
      </c>
      <c r="M197" s="577">
        <f t="shared" ref="M197:M203" si="121">K197+L197</f>
        <v>4.9500000000000002E-2</v>
      </c>
    </row>
    <row r="198" spans="1:13" ht="42.75">
      <c r="A198" s="568"/>
      <c r="B198" s="569" t="s">
        <v>1257</v>
      </c>
      <c r="C198" s="578" t="s">
        <v>904</v>
      </c>
      <c r="D198" s="571" t="s">
        <v>909</v>
      </c>
      <c r="E198" s="576"/>
      <c r="F198" s="573"/>
      <c r="G198" s="574">
        <f t="shared" si="118"/>
        <v>0</v>
      </c>
      <c r="H198" s="576">
        <f t="shared" si="119"/>
        <v>4.4999999999999998E-2</v>
      </c>
      <c r="I198" s="573"/>
      <c r="J198" s="575">
        <f t="shared" si="120"/>
        <v>4.4999999999999998E-2</v>
      </c>
      <c r="K198" s="576">
        <f t="shared" ref="K198:K201" si="122">SUM(H198*1.1)</f>
        <v>4.9500000000000002E-2</v>
      </c>
      <c r="L198" s="576">
        <f t="shared" ref="L198:L201" si="123">SUM(I198*1.1)</f>
        <v>0</v>
      </c>
      <c r="M198" s="577">
        <f t="shared" si="121"/>
        <v>4.9500000000000002E-2</v>
      </c>
    </row>
    <row r="199" spans="1:13" ht="42.75">
      <c r="A199" s="568"/>
      <c r="B199" s="569" t="s">
        <v>1258</v>
      </c>
      <c r="C199" s="578" t="s">
        <v>904</v>
      </c>
      <c r="D199" s="571" t="s">
        <v>909</v>
      </c>
      <c r="E199" s="576"/>
      <c r="F199" s="573"/>
      <c r="G199" s="574">
        <f t="shared" si="118"/>
        <v>0</v>
      </c>
      <c r="H199" s="576">
        <f t="shared" si="119"/>
        <v>4.4999999999999998E-2</v>
      </c>
      <c r="I199" s="573"/>
      <c r="J199" s="575">
        <f t="shared" si="120"/>
        <v>4.4999999999999998E-2</v>
      </c>
      <c r="K199" s="576">
        <f t="shared" si="122"/>
        <v>4.9500000000000002E-2</v>
      </c>
      <c r="L199" s="576">
        <f t="shared" si="123"/>
        <v>0</v>
      </c>
      <c r="M199" s="577">
        <f t="shared" si="121"/>
        <v>4.9500000000000002E-2</v>
      </c>
    </row>
    <row r="200" spans="1:13" ht="42.75">
      <c r="A200" s="568"/>
      <c r="B200" s="569" t="s">
        <v>1259</v>
      </c>
      <c r="C200" s="578" t="s">
        <v>904</v>
      </c>
      <c r="D200" s="571" t="s">
        <v>909</v>
      </c>
      <c r="E200" s="576"/>
      <c r="F200" s="573"/>
      <c r="G200" s="574">
        <f t="shared" si="118"/>
        <v>0</v>
      </c>
      <c r="H200" s="576">
        <f t="shared" si="119"/>
        <v>4.4999999999999998E-2</v>
      </c>
      <c r="I200" s="573"/>
      <c r="J200" s="575">
        <f t="shared" si="120"/>
        <v>4.4999999999999998E-2</v>
      </c>
      <c r="K200" s="576">
        <f t="shared" si="122"/>
        <v>4.9500000000000002E-2</v>
      </c>
      <c r="L200" s="576">
        <f t="shared" si="123"/>
        <v>0</v>
      </c>
      <c r="M200" s="577">
        <f t="shared" si="121"/>
        <v>4.9500000000000002E-2</v>
      </c>
    </row>
    <row r="201" spans="1:13" ht="42.75">
      <c r="A201" s="568"/>
      <c r="B201" s="569" t="s">
        <v>1260</v>
      </c>
      <c r="C201" s="578" t="s">
        <v>904</v>
      </c>
      <c r="D201" s="571" t="s">
        <v>909</v>
      </c>
      <c r="E201" s="576"/>
      <c r="F201" s="573"/>
      <c r="G201" s="574">
        <f t="shared" si="118"/>
        <v>0</v>
      </c>
      <c r="H201" s="576">
        <f t="shared" si="119"/>
        <v>4.4999999999999998E-2</v>
      </c>
      <c r="I201" s="573"/>
      <c r="J201" s="575">
        <f t="shared" si="120"/>
        <v>4.4999999999999998E-2</v>
      </c>
      <c r="K201" s="576">
        <f t="shared" si="122"/>
        <v>4.9500000000000002E-2</v>
      </c>
      <c r="L201" s="576">
        <f t="shared" si="123"/>
        <v>0</v>
      </c>
      <c r="M201" s="577">
        <f t="shared" si="121"/>
        <v>4.9500000000000002E-2</v>
      </c>
    </row>
    <row r="202" spans="1:13" ht="15">
      <c r="A202" s="568"/>
      <c r="B202" s="586" t="s">
        <v>1225</v>
      </c>
      <c r="C202" s="578"/>
      <c r="D202" s="571"/>
      <c r="E202" s="576"/>
      <c r="F202" s="573"/>
      <c r="G202" s="574">
        <f t="shared" si="118"/>
        <v>0</v>
      </c>
      <c r="H202" s="576"/>
      <c r="I202" s="573"/>
      <c r="J202" s="575">
        <f t="shared" si="120"/>
        <v>0</v>
      </c>
      <c r="K202" s="576"/>
      <c r="L202" s="573"/>
      <c r="M202" s="577">
        <f t="shared" si="121"/>
        <v>0</v>
      </c>
    </row>
    <row r="203" spans="1:13" ht="15">
      <c r="A203" s="568"/>
      <c r="B203" s="569" t="s">
        <v>1261</v>
      </c>
      <c r="C203" s="569" t="s">
        <v>910</v>
      </c>
      <c r="D203" s="571" t="s">
        <v>909</v>
      </c>
      <c r="E203" s="576"/>
      <c r="F203" s="573"/>
      <c r="G203" s="574">
        <f t="shared" si="118"/>
        <v>0</v>
      </c>
      <c r="H203" s="576">
        <f t="shared" si="119"/>
        <v>4.4999999999999998E-2</v>
      </c>
      <c r="I203" s="573"/>
      <c r="J203" s="575">
        <f t="shared" si="120"/>
        <v>4.4999999999999998E-2</v>
      </c>
      <c r="K203" s="576">
        <f t="shared" ref="K203:K212" si="124">SUM(H203*1.1)</f>
        <v>4.9500000000000002E-2</v>
      </c>
      <c r="L203" s="576">
        <f t="shared" ref="L203:L212" si="125">SUM(I203*1.1)</f>
        <v>0</v>
      </c>
      <c r="M203" s="577">
        <f t="shared" si="121"/>
        <v>4.9500000000000002E-2</v>
      </c>
    </row>
    <row r="204" spans="1:13" ht="15">
      <c r="A204" s="568"/>
      <c r="B204" s="569" t="s">
        <v>1328</v>
      </c>
      <c r="C204" s="569" t="s">
        <v>910</v>
      </c>
      <c r="D204" s="571" t="s">
        <v>909</v>
      </c>
      <c r="E204" s="576"/>
      <c r="F204" s="573"/>
      <c r="G204" s="574"/>
      <c r="H204" s="576">
        <f t="shared" si="119"/>
        <v>4.4999999999999998E-2</v>
      </c>
      <c r="I204" s="573"/>
      <c r="J204" s="575">
        <f t="shared" si="120"/>
        <v>4.4999999999999998E-2</v>
      </c>
      <c r="K204" s="576">
        <f t="shared" si="124"/>
        <v>4.9500000000000002E-2</v>
      </c>
      <c r="L204" s="576">
        <f t="shared" si="125"/>
        <v>0</v>
      </c>
      <c r="M204" s="577"/>
    </row>
    <row r="205" spans="1:13" ht="15">
      <c r="A205" s="568"/>
      <c r="B205" s="569" t="s">
        <v>1263</v>
      </c>
      <c r="C205" s="569" t="s">
        <v>910</v>
      </c>
      <c r="D205" s="571" t="s">
        <v>909</v>
      </c>
      <c r="E205" s="576"/>
      <c r="F205" s="573"/>
      <c r="G205" s="574">
        <f>E205+F205</f>
        <v>0</v>
      </c>
      <c r="H205" s="576">
        <f>35000/1000000</f>
        <v>3.5000000000000003E-2</v>
      </c>
      <c r="I205" s="573"/>
      <c r="J205" s="575">
        <f>H205+I205</f>
        <v>3.5000000000000003E-2</v>
      </c>
      <c r="K205" s="576">
        <f t="shared" si="124"/>
        <v>3.8500000000000006E-2</v>
      </c>
      <c r="L205" s="576">
        <f t="shared" si="125"/>
        <v>0</v>
      </c>
      <c r="M205" s="577">
        <f>K205+L205</f>
        <v>3.8500000000000006E-2</v>
      </c>
    </row>
    <row r="206" spans="1:13" ht="15">
      <c r="A206" s="568">
        <v>29</v>
      </c>
      <c r="B206" s="569" t="s">
        <v>1264</v>
      </c>
      <c r="C206" s="569" t="s">
        <v>910</v>
      </c>
      <c r="D206" s="571" t="s">
        <v>909</v>
      </c>
      <c r="E206" s="576"/>
      <c r="F206" s="587"/>
      <c r="G206" s="574">
        <f>E206+F206</f>
        <v>0</v>
      </c>
      <c r="H206" s="576">
        <f t="shared" ref="H206:H212" si="126">35000/1000000</f>
        <v>3.5000000000000003E-2</v>
      </c>
      <c r="I206" s="573"/>
      <c r="J206" s="575">
        <f>H206+I206</f>
        <v>3.5000000000000003E-2</v>
      </c>
      <c r="K206" s="576">
        <f t="shared" si="124"/>
        <v>3.8500000000000006E-2</v>
      </c>
      <c r="L206" s="576">
        <f t="shared" si="125"/>
        <v>0</v>
      </c>
      <c r="M206" s="577">
        <f>K206+L206</f>
        <v>3.8500000000000006E-2</v>
      </c>
    </row>
    <row r="207" spans="1:13" ht="15">
      <c r="A207" s="588"/>
      <c r="B207" s="569" t="s">
        <v>1265</v>
      </c>
      <c r="C207" s="569" t="s">
        <v>910</v>
      </c>
      <c r="D207" s="571" t="s">
        <v>909</v>
      </c>
      <c r="E207" s="576"/>
      <c r="F207" s="587"/>
      <c r="G207" s="574">
        <f>E207+F207</f>
        <v>0</v>
      </c>
      <c r="H207" s="576">
        <f t="shared" si="126"/>
        <v>3.5000000000000003E-2</v>
      </c>
      <c r="I207" s="573"/>
      <c r="J207" s="575">
        <f>H207+I207</f>
        <v>3.5000000000000003E-2</v>
      </c>
      <c r="K207" s="576">
        <f t="shared" si="124"/>
        <v>3.8500000000000006E-2</v>
      </c>
      <c r="L207" s="576">
        <f t="shared" si="125"/>
        <v>0</v>
      </c>
      <c r="M207" s="577">
        <f>K207+L207</f>
        <v>3.8500000000000006E-2</v>
      </c>
    </row>
    <row r="208" spans="1:13" ht="15">
      <c r="A208" s="588"/>
      <c r="B208" s="589" t="s">
        <v>1266</v>
      </c>
      <c r="C208" s="569" t="s">
        <v>910</v>
      </c>
      <c r="D208" s="571" t="s">
        <v>909</v>
      </c>
      <c r="E208" s="576"/>
      <c r="F208" s="587"/>
      <c r="G208" s="574">
        <f t="shared" ref="G208:G211" si="127">E208+F208</f>
        <v>0</v>
      </c>
      <c r="H208" s="576">
        <f t="shared" si="126"/>
        <v>3.5000000000000003E-2</v>
      </c>
      <c r="I208" s="573"/>
      <c r="J208" s="575">
        <f t="shared" ref="J208:J212" si="128">H208+I208</f>
        <v>3.5000000000000003E-2</v>
      </c>
      <c r="K208" s="576">
        <f t="shared" si="124"/>
        <v>3.8500000000000006E-2</v>
      </c>
      <c r="L208" s="576">
        <f t="shared" si="125"/>
        <v>0</v>
      </c>
      <c r="M208" s="577">
        <f t="shared" ref="M208:M212" si="129">K208+L208</f>
        <v>3.8500000000000006E-2</v>
      </c>
    </row>
    <row r="209" spans="1:13" ht="15">
      <c r="A209" s="588"/>
      <c r="B209" s="589" t="s">
        <v>1267</v>
      </c>
      <c r="C209" s="569" t="s">
        <v>910</v>
      </c>
      <c r="D209" s="571" t="s">
        <v>909</v>
      </c>
      <c r="E209" s="576"/>
      <c r="F209" s="587"/>
      <c r="G209" s="574">
        <f t="shared" si="127"/>
        <v>0</v>
      </c>
      <c r="H209" s="576">
        <f t="shared" si="126"/>
        <v>3.5000000000000003E-2</v>
      </c>
      <c r="I209" s="573"/>
      <c r="J209" s="575">
        <f t="shared" si="128"/>
        <v>3.5000000000000003E-2</v>
      </c>
      <c r="K209" s="576">
        <f t="shared" si="124"/>
        <v>3.8500000000000006E-2</v>
      </c>
      <c r="L209" s="576">
        <f t="shared" si="125"/>
        <v>0</v>
      </c>
      <c r="M209" s="577">
        <f t="shared" si="129"/>
        <v>3.8500000000000006E-2</v>
      </c>
    </row>
    <row r="210" spans="1:13" ht="15">
      <c r="A210" s="588"/>
      <c r="B210" s="589" t="s">
        <v>1269</v>
      </c>
      <c r="C210" s="569" t="s">
        <v>910</v>
      </c>
      <c r="D210" s="571" t="s">
        <v>909</v>
      </c>
      <c r="E210" s="576"/>
      <c r="F210" s="587"/>
      <c r="G210" s="574">
        <f t="shared" si="127"/>
        <v>0</v>
      </c>
      <c r="H210" s="576">
        <f t="shared" si="126"/>
        <v>3.5000000000000003E-2</v>
      </c>
      <c r="I210" s="573"/>
      <c r="J210" s="575">
        <f t="shared" si="128"/>
        <v>3.5000000000000003E-2</v>
      </c>
      <c r="K210" s="576">
        <f t="shared" si="124"/>
        <v>3.8500000000000006E-2</v>
      </c>
      <c r="L210" s="576">
        <f t="shared" si="125"/>
        <v>0</v>
      </c>
      <c r="M210" s="577">
        <f t="shared" si="129"/>
        <v>3.8500000000000006E-2</v>
      </c>
    </row>
    <row r="211" spans="1:13" ht="15">
      <c r="A211" s="588"/>
      <c r="B211" s="589" t="s">
        <v>1270</v>
      </c>
      <c r="C211" s="578" t="s">
        <v>910</v>
      </c>
      <c r="D211" s="571" t="s">
        <v>909</v>
      </c>
      <c r="E211" s="576"/>
      <c r="F211" s="587"/>
      <c r="G211" s="574">
        <f t="shared" si="127"/>
        <v>0</v>
      </c>
      <c r="H211" s="576">
        <f t="shared" si="126"/>
        <v>3.5000000000000003E-2</v>
      </c>
      <c r="I211" s="573"/>
      <c r="J211" s="575">
        <f t="shared" si="128"/>
        <v>3.5000000000000003E-2</v>
      </c>
      <c r="K211" s="576">
        <f t="shared" si="124"/>
        <v>3.8500000000000006E-2</v>
      </c>
      <c r="L211" s="576">
        <f t="shared" si="125"/>
        <v>0</v>
      </c>
      <c r="M211" s="577">
        <f t="shared" si="129"/>
        <v>3.8500000000000006E-2</v>
      </c>
    </row>
    <row r="212" spans="1:13" ht="15">
      <c r="A212" s="588"/>
      <c r="B212" s="589" t="s">
        <v>1280</v>
      </c>
      <c r="C212" s="578" t="s">
        <v>910</v>
      </c>
      <c r="D212" s="571" t="s">
        <v>909</v>
      </c>
      <c r="E212" s="576"/>
      <c r="F212" s="587"/>
      <c r="G212" s="574"/>
      <c r="H212" s="576">
        <f t="shared" si="126"/>
        <v>3.5000000000000003E-2</v>
      </c>
      <c r="I212" s="573"/>
      <c r="J212" s="575">
        <f t="shared" si="128"/>
        <v>3.5000000000000003E-2</v>
      </c>
      <c r="K212" s="576">
        <f t="shared" si="124"/>
        <v>3.8500000000000006E-2</v>
      </c>
      <c r="L212" s="573">
        <f t="shared" si="125"/>
        <v>0</v>
      </c>
      <c r="M212" s="577">
        <f t="shared" si="129"/>
        <v>3.8500000000000006E-2</v>
      </c>
    </row>
  </sheetData>
  <mergeCells count="39">
    <mergeCell ref="A106:M106"/>
    <mergeCell ref="A58:M58"/>
    <mergeCell ref="A122:M122"/>
    <mergeCell ref="B84:M84"/>
    <mergeCell ref="B67:M67"/>
    <mergeCell ref="B79:M79"/>
    <mergeCell ref="B59:M59"/>
    <mergeCell ref="B64:M64"/>
    <mergeCell ref="B16:L16"/>
    <mergeCell ref="B22:M22"/>
    <mergeCell ref="B30:M30"/>
    <mergeCell ref="B38:M38"/>
    <mergeCell ref="B44:M44"/>
    <mergeCell ref="L1:M1"/>
    <mergeCell ref="A2:M2"/>
    <mergeCell ref="B3:G3"/>
    <mergeCell ref="B136:M136"/>
    <mergeCell ref="B138:L138"/>
    <mergeCell ref="K5:M5"/>
    <mergeCell ref="H7:J7"/>
    <mergeCell ref="K7:M7"/>
    <mergeCell ref="A9:M9"/>
    <mergeCell ref="A135:M135"/>
    <mergeCell ref="A6:B8"/>
    <mergeCell ref="C6:C8"/>
    <mergeCell ref="D6:D8"/>
    <mergeCell ref="E6:M6"/>
    <mergeCell ref="E7:G7"/>
    <mergeCell ref="B10:M10"/>
    <mergeCell ref="B142:M142"/>
    <mergeCell ref="B150:M150"/>
    <mergeCell ref="B155:M155"/>
    <mergeCell ref="B192:M192"/>
    <mergeCell ref="B196:M196"/>
    <mergeCell ref="B161:M161"/>
    <mergeCell ref="A171:M171"/>
    <mergeCell ref="B172:M172"/>
    <mergeCell ref="B177:M177"/>
    <mergeCell ref="B180:M180"/>
  </mergeCells>
  <dataValidations count="2">
    <dataValidation type="list" allowBlank="1" showInputMessage="1" showErrorMessage="1" sqref="C178:C179 C193:C195 C181:C191 C173:C176 C151:C154 C143:C149 C128:C134 C85:C105 B107:B112 C65:C66 C80:C83 C68:C78 C60:C63 B123:B127 C39:C43 C45:C57 C31:C37 C23:C29 C17:C21 C11:C15 C113:C121 C137 C139:C141 C162:C170 C156:C160 C197:C212">
      <formula1>$W$12:$W$20</formula1>
    </dataValidation>
    <dataValidation type="list" allowBlank="1" showInputMessage="1" showErrorMessage="1" sqref="D178:D179 D193:D195 D181:D191 D173:D176 D151:D154 D143:D149 D65:D66 D85:D105 C107:C112 D108:D121 D80:D83 D68:D78 D60:D63 C123:C127 D39:D43 D45:D57 D31:D37 D23:D29 D17:D21 D11:D15 D128:D134 D137 D139:D141 D162:D170 D156:D160 D197:D212">
      <formula1>$V$12:$V$13</formula1>
    </dataValidation>
  </dataValidations>
  <printOptions horizontalCentered="1"/>
  <pageMargins left="0.25" right="0.25" top="0.67500000000000004" bottom="0.25" header="0.25" footer="0.25"/>
  <pageSetup scale="82"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Q225"/>
  <sheetViews>
    <sheetView view="pageBreakPreview" zoomScaleSheetLayoutView="100" workbookViewId="0">
      <pane xSplit="2" ySplit="9" topLeftCell="C214" activePane="bottomRight" state="frozen"/>
      <selection pane="topRight" activeCell="C1" sqref="C1"/>
      <selection pane="bottomLeft" activeCell="A10" sqref="A10"/>
      <selection pane="bottomRight" activeCell="O226" sqref="O226"/>
    </sheetView>
  </sheetViews>
  <sheetFormatPr defaultRowHeight="14.25"/>
  <cols>
    <col min="1" max="1" width="3.7109375" style="227" customWidth="1"/>
    <col min="2" max="2" width="22.7109375" style="186" customWidth="1"/>
    <col min="3" max="3" width="7.5703125" style="1" bestFit="1" customWidth="1"/>
    <col min="4" max="4" width="6.7109375" style="1" bestFit="1" customWidth="1"/>
    <col min="5" max="5" width="7.5703125" style="1" bestFit="1" customWidth="1"/>
    <col min="6" max="7" width="6.7109375" style="1" bestFit="1" customWidth="1"/>
    <col min="8" max="8" width="7.5703125" style="1" bestFit="1" customWidth="1"/>
    <col min="9" max="9" width="6.7109375" style="1" bestFit="1" customWidth="1"/>
    <col min="10" max="10" width="5.7109375" style="1" customWidth="1"/>
    <col min="11" max="11" width="6.7109375" style="1" bestFit="1" customWidth="1"/>
    <col min="12" max="14" width="5.7109375" style="1" customWidth="1"/>
    <col min="15" max="15" width="7.7109375" style="1" customWidth="1"/>
    <col min="16" max="16" width="11.5703125" style="10" customWidth="1"/>
    <col min="17" max="23" width="14.28515625" style="10" customWidth="1"/>
    <col min="24" max="238" width="9.140625" style="10"/>
    <col min="239" max="239" width="38.5703125" style="10" customWidth="1"/>
    <col min="240" max="240" width="6.5703125" style="10" customWidth="1"/>
    <col min="241" max="241" width="7.7109375" style="10" bestFit="1" customWidth="1"/>
    <col min="242" max="242" width="7.28515625" style="10" customWidth="1"/>
    <col min="243" max="243" width="6.5703125" style="10" bestFit="1" customWidth="1"/>
    <col min="244" max="244" width="7.28515625" style="10" bestFit="1" customWidth="1"/>
    <col min="245" max="245" width="8.140625" style="10" customWidth="1"/>
    <col min="246" max="246" width="7.140625" style="10" customWidth="1"/>
    <col min="247" max="247" width="7.7109375" style="10" bestFit="1" customWidth="1"/>
    <col min="248" max="248" width="7.28515625" style="10" customWidth="1"/>
    <col min="249" max="249" width="7" style="10" customWidth="1"/>
    <col min="250" max="250" width="7.5703125" style="10" customWidth="1"/>
    <col min="251" max="251" width="7.140625" style="10" customWidth="1"/>
    <col min="252" max="252" width="7" style="10" customWidth="1"/>
    <col min="253" max="253" width="7.5703125" style="10" customWidth="1"/>
    <col min="254" max="254" width="7.140625" style="10" customWidth="1"/>
    <col min="255" max="271" width="8.7109375" style="10" customWidth="1"/>
    <col min="272" max="272" width="36.85546875" style="10" customWidth="1"/>
    <col min="273" max="279" width="14.28515625" style="10" customWidth="1"/>
    <col min="280" max="494" width="9.140625" style="10"/>
    <col min="495" max="495" width="38.5703125" style="10" customWidth="1"/>
    <col min="496" max="496" width="6.5703125" style="10" customWidth="1"/>
    <col min="497" max="497" width="7.7109375" style="10" bestFit="1" customWidth="1"/>
    <col min="498" max="498" width="7.28515625" style="10" customWidth="1"/>
    <col min="499" max="499" width="6.5703125" style="10" bestFit="1" customWidth="1"/>
    <col min="500" max="500" width="7.28515625" style="10" bestFit="1" customWidth="1"/>
    <col min="501" max="501" width="8.140625" style="10" customWidth="1"/>
    <col min="502" max="502" width="7.140625" style="10" customWidth="1"/>
    <col min="503" max="503" width="7.7109375" style="10" bestFit="1" customWidth="1"/>
    <col min="504" max="504" width="7.28515625" style="10" customWidth="1"/>
    <col min="505" max="505" width="7" style="10" customWidth="1"/>
    <col min="506" max="506" width="7.5703125" style="10" customWidth="1"/>
    <col min="507" max="507" width="7.140625" style="10" customWidth="1"/>
    <col min="508" max="508" width="7" style="10" customWidth="1"/>
    <col min="509" max="509" width="7.5703125" style="10" customWidth="1"/>
    <col min="510" max="510" width="7.140625" style="10" customWidth="1"/>
    <col min="511" max="527" width="8.7109375" style="10" customWidth="1"/>
    <col min="528" max="528" width="36.85546875" style="10" customWidth="1"/>
    <col min="529" max="535" width="14.28515625" style="10" customWidth="1"/>
    <col min="536" max="750" width="9.140625" style="10"/>
    <col min="751" max="751" width="38.5703125" style="10" customWidth="1"/>
    <col min="752" max="752" width="6.5703125" style="10" customWidth="1"/>
    <col min="753" max="753" width="7.7109375" style="10" bestFit="1" customWidth="1"/>
    <col min="754" max="754" width="7.28515625" style="10" customWidth="1"/>
    <col min="755" max="755" width="6.5703125" style="10" bestFit="1" customWidth="1"/>
    <col min="756" max="756" width="7.28515625" style="10" bestFit="1" customWidth="1"/>
    <col min="757" max="757" width="8.140625" style="10" customWidth="1"/>
    <col min="758" max="758" width="7.140625" style="10" customWidth="1"/>
    <col min="759" max="759" width="7.7109375" style="10" bestFit="1" customWidth="1"/>
    <col min="760" max="760" width="7.28515625" style="10" customWidth="1"/>
    <col min="761" max="761" width="7" style="10" customWidth="1"/>
    <col min="762" max="762" width="7.5703125" style="10" customWidth="1"/>
    <col min="763" max="763" width="7.140625" style="10" customWidth="1"/>
    <col min="764" max="764" width="7" style="10" customWidth="1"/>
    <col min="765" max="765" width="7.5703125" style="10" customWidth="1"/>
    <col min="766" max="766" width="7.140625" style="10" customWidth="1"/>
    <col min="767" max="783" width="8.7109375" style="10" customWidth="1"/>
    <col min="784" max="784" width="36.85546875" style="10" customWidth="1"/>
    <col min="785" max="791" width="14.28515625" style="10" customWidth="1"/>
    <col min="792" max="1006" width="9.140625" style="10"/>
    <col min="1007" max="1007" width="38.5703125" style="10" customWidth="1"/>
    <col min="1008" max="1008" width="6.5703125" style="10" customWidth="1"/>
    <col min="1009" max="1009" width="7.7109375" style="10" bestFit="1" customWidth="1"/>
    <col min="1010" max="1010" width="7.28515625" style="10" customWidth="1"/>
    <col min="1011" max="1011" width="6.5703125" style="10" bestFit="1" customWidth="1"/>
    <col min="1012" max="1012" width="7.28515625" style="10" bestFit="1" customWidth="1"/>
    <col min="1013" max="1013" width="8.140625" style="10" customWidth="1"/>
    <col min="1014" max="1014" width="7.140625" style="10" customWidth="1"/>
    <col min="1015" max="1015" width="7.7109375" style="10" bestFit="1" customWidth="1"/>
    <col min="1016" max="1016" width="7.28515625" style="10" customWidth="1"/>
    <col min="1017" max="1017" width="7" style="10" customWidth="1"/>
    <col min="1018" max="1018" width="7.5703125" style="10" customWidth="1"/>
    <col min="1019" max="1019" width="7.140625" style="10" customWidth="1"/>
    <col min="1020" max="1020" width="7" style="10" customWidth="1"/>
    <col min="1021" max="1021" width="7.5703125" style="10" customWidth="1"/>
    <col min="1022" max="1022" width="7.140625" style="10" customWidth="1"/>
    <col min="1023" max="1039" width="8.7109375" style="10" customWidth="1"/>
    <col min="1040" max="1040" width="36.85546875" style="10" customWidth="1"/>
    <col min="1041" max="1047" width="14.28515625" style="10" customWidth="1"/>
    <col min="1048" max="1262" width="9.140625" style="10"/>
    <col min="1263" max="1263" width="38.5703125" style="10" customWidth="1"/>
    <col min="1264" max="1264" width="6.5703125" style="10" customWidth="1"/>
    <col min="1265" max="1265" width="7.7109375" style="10" bestFit="1" customWidth="1"/>
    <col min="1266" max="1266" width="7.28515625" style="10" customWidth="1"/>
    <col min="1267" max="1267" width="6.5703125" style="10" bestFit="1" customWidth="1"/>
    <col min="1268" max="1268" width="7.28515625" style="10" bestFit="1" customWidth="1"/>
    <col min="1269" max="1269" width="8.140625" style="10" customWidth="1"/>
    <col min="1270" max="1270" width="7.140625" style="10" customWidth="1"/>
    <col min="1271" max="1271" width="7.7109375" style="10" bestFit="1" customWidth="1"/>
    <col min="1272" max="1272" width="7.28515625" style="10" customWidth="1"/>
    <col min="1273" max="1273" width="7" style="10" customWidth="1"/>
    <col min="1274" max="1274" width="7.5703125" style="10" customWidth="1"/>
    <col min="1275" max="1275" width="7.140625" style="10" customWidth="1"/>
    <col min="1276" max="1276" width="7" style="10" customWidth="1"/>
    <col min="1277" max="1277" width="7.5703125" style="10" customWidth="1"/>
    <col min="1278" max="1278" width="7.140625" style="10" customWidth="1"/>
    <col min="1279" max="1295" width="8.7109375" style="10" customWidth="1"/>
    <col min="1296" max="1296" width="36.85546875" style="10" customWidth="1"/>
    <col min="1297" max="1303" width="14.28515625" style="10" customWidth="1"/>
    <col min="1304" max="1518" width="9.140625" style="10"/>
    <col min="1519" max="1519" width="38.5703125" style="10" customWidth="1"/>
    <col min="1520" max="1520" width="6.5703125" style="10" customWidth="1"/>
    <col min="1521" max="1521" width="7.7109375" style="10" bestFit="1" customWidth="1"/>
    <col min="1522" max="1522" width="7.28515625" style="10" customWidth="1"/>
    <col min="1523" max="1523" width="6.5703125" style="10" bestFit="1" customWidth="1"/>
    <col min="1524" max="1524" width="7.28515625" style="10" bestFit="1" customWidth="1"/>
    <col min="1525" max="1525" width="8.140625" style="10" customWidth="1"/>
    <col min="1526" max="1526" width="7.140625" style="10" customWidth="1"/>
    <col min="1527" max="1527" width="7.7109375" style="10" bestFit="1" customWidth="1"/>
    <col min="1528" max="1528" width="7.28515625" style="10" customWidth="1"/>
    <col min="1529" max="1529" width="7" style="10" customWidth="1"/>
    <col min="1530" max="1530" width="7.5703125" style="10" customWidth="1"/>
    <col min="1531" max="1531" width="7.140625" style="10" customWidth="1"/>
    <col min="1532" max="1532" width="7" style="10" customWidth="1"/>
    <col min="1533" max="1533" width="7.5703125" style="10" customWidth="1"/>
    <col min="1534" max="1534" width="7.140625" style="10" customWidth="1"/>
    <col min="1535" max="1551" width="8.7109375" style="10" customWidth="1"/>
    <col min="1552" max="1552" width="36.85546875" style="10" customWidth="1"/>
    <col min="1553" max="1559" width="14.28515625" style="10" customWidth="1"/>
    <col min="1560" max="1774" width="9.140625" style="10"/>
    <col min="1775" max="1775" width="38.5703125" style="10" customWidth="1"/>
    <col min="1776" max="1776" width="6.5703125" style="10" customWidth="1"/>
    <col min="1777" max="1777" width="7.7109375" style="10" bestFit="1" customWidth="1"/>
    <col min="1778" max="1778" width="7.28515625" style="10" customWidth="1"/>
    <col min="1779" max="1779" width="6.5703125" style="10" bestFit="1" customWidth="1"/>
    <col min="1780" max="1780" width="7.28515625" style="10" bestFit="1" customWidth="1"/>
    <col min="1781" max="1781" width="8.140625" style="10" customWidth="1"/>
    <col min="1782" max="1782" width="7.140625" style="10" customWidth="1"/>
    <col min="1783" max="1783" width="7.7109375" style="10" bestFit="1" customWidth="1"/>
    <col min="1784" max="1784" width="7.28515625" style="10" customWidth="1"/>
    <col min="1785" max="1785" width="7" style="10" customWidth="1"/>
    <col min="1786" max="1786" width="7.5703125" style="10" customWidth="1"/>
    <col min="1787" max="1787" width="7.140625" style="10" customWidth="1"/>
    <col min="1788" max="1788" width="7" style="10" customWidth="1"/>
    <col min="1789" max="1789" width="7.5703125" style="10" customWidth="1"/>
    <col min="1790" max="1790" width="7.140625" style="10" customWidth="1"/>
    <col min="1791" max="1807" width="8.7109375" style="10" customWidth="1"/>
    <col min="1808" max="1808" width="36.85546875" style="10" customWidth="1"/>
    <col min="1809" max="1815" width="14.28515625" style="10" customWidth="1"/>
    <col min="1816" max="2030" width="9.140625" style="10"/>
    <col min="2031" max="2031" width="38.5703125" style="10" customWidth="1"/>
    <col min="2032" max="2032" width="6.5703125" style="10" customWidth="1"/>
    <col min="2033" max="2033" width="7.7109375" style="10" bestFit="1" customWidth="1"/>
    <col min="2034" max="2034" width="7.28515625" style="10" customWidth="1"/>
    <col min="2035" max="2035" width="6.5703125" style="10" bestFit="1" customWidth="1"/>
    <col min="2036" max="2036" width="7.28515625" style="10" bestFit="1" customWidth="1"/>
    <col min="2037" max="2037" width="8.140625" style="10" customWidth="1"/>
    <col min="2038" max="2038" width="7.140625" style="10" customWidth="1"/>
    <col min="2039" max="2039" width="7.7109375" style="10" bestFit="1" customWidth="1"/>
    <col min="2040" max="2040" width="7.28515625" style="10" customWidth="1"/>
    <col min="2041" max="2041" width="7" style="10" customWidth="1"/>
    <col min="2042" max="2042" width="7.5703125" style="10" customWidth="1"/>
    <col min="2043" max="2043" width="7.140625" style="10" customWidth="1"/>
    <col min="2044" max="2044" width="7" style="10" customWidth="1"/>
    <col min="2045" max="2045" width="7.5703125" style="10" customWidth="1"/>
    <col min="2046" max="2046" width="7.140625" style="10" customWidth="1"/>
    <col min="2047" max="2063" width="8.7109375" style="10" customWidth="1"/>
    <col min="2064" max="2064" width="36.85546875" style="10" customWidth="1"/>
    <col min="2065" max="2071" width="14.28515625" style="10" customWidth="1"/>
    <col min="2072" max="2286" width="9.140625" style="10"/>
    <col min="2287" max="2287" width="38.5703125" style="10" customWidth="1"/>
    <col min="2288" max="2288" width="6.5703125" style="10" customWidth="1"/>
    <col min="2289" max="2289" width="7.7109375" style="10" bestFit="1" customWidth="1"/>
    <col min="2290" max="2290" width="7.28515625" style="10" customWidth="1"/>
    <col min="2291" max="2291" width="6.5703125" style="10" bestFit="1" customWidth="1"/>
    <col min="2292" max="2292" width="7.28515625" style="10" bestFit="1" customWidth="1"/>
    <col min="2293" max="2293" width="8.140625" style="10" customWidth="1"/>
    <col min="2294" max="2294" width="7.140625" style="10" customWidth="1"/>
    <col min="2295" max="2295" width="7.7109375" style="10" bestFit="1" customWidth="1"/>
    <col min="2296" max="2296" width="7.28515625" style="10" customWidth="1"/>
    <col min="2297" max="2297" width="7" style="10" customWidth="1"/>
    <col min="2298" max="2298" width="7.5703125" style="10" customWidth="1"/>
    <col min="2299" max="2299" width="7.140625" style="10" customWidth="1"/>
    <col min="2300" max="2300" width="7" style="10" customWidth="1"/>
    <col min="2301" max="2301" width="7.5703125" style="10" customWidth="1"/>
    <col min="2302" max="2302" width="7.140625" style="10" customWidth="1"/>
    <col min="2303" max="2319" width="8.7109375" style="10" customWidth="1"/>
    <col min="2320" max="2320" width="36.85546875" style="10" customWidth="1"/>
    <col min="2321" max="2327" width="14.28515625" style="10" customWidth="1"/>
    <col min="2328" max="2542" width="9.140625" style="10"/>
    <col min="2543" max="2543" width="38.5703125" style="10" customWidth="1"/>
    <col min="2544" max="2544" width="6.5703125" style="10" customWidth="1"/>
    <col min="2545" max="2545" width="7.7109375" style="10" bestFit="1" customWidth="1"/>
    <col min="2546" max="2546" width="7.28515625" style="10" customWidth="1"/>
    <col min="2547" max="2547" width="6.5703125" style="10" bestFit="1" customWidth="1"/>
    <col min="2548" max="2548" width="7.28515625" style="10" bestFit="1" customWidth="1"/>
    <col min="2549" max="2549" width="8.140625" style="10" customWidth="1"/>
    <col min="2550" max="2550" width="7.140625" style="10" customWidth="1"/>
    <col min="2551" max="2551" width="7.7109375" style="10" bestFit="1" customWidth="1"/>
    <col min="2552" max="2552" width="7.28515625" style="10" customWidth="1"/>
    <col min="2553" max="2553" width="7" style="10" customWidth="1"/>
    <col min="2554" max="2554" width="7.5703125" style="10" customWidth="1"/>
    <col min="2555" max="2555" width="7.140625" style="10" customWidth="1"/>
    <col min="2556" max="2556" width="7" style="10" customWidth="1"/>
    <col min="2557" max="2557" width="7.5703125" style="10" customWidth="1"/>
    <col min="2558" max="2558" width="7.140625" style="10" customWidth="1"/>
    <col min="2559" max="2575" width="8.7109375" style="10" customWidth="1"/>
    <col min="2576" max="2576" width="36.85546875" style="10" customWidth="1"/>
    <col min="2577" max="2583" width="14.28515625" style="10" customWidth="1"/>
    <col min="2584" max="2798" width="9.140625" style="10"/>
    <col min="2799" max="2799" width="38.5703125" style="10" customWidth="1"/>
    <col min="2800" max="2800" width="6.5703125" style="10" customWidth="1"/>
    <col min="2801" max="2801" width="7.7109375" style="10" bestFit="1" customWidth="1"/>
    <col min="2802" max="2802" width="7.28515625" style="10" customWidth="1"/>
    <col min="2803" max="2803" width="6.5703125" style="10" bestFit="1" customWidth="1"/>
    <col min="2804" max="2804" width="7.28515625" style="10" bestFit="1" customWidth="1"/>
    <col min="2805" max="2805" width="8.140625" style="10" customWidth="1"/>
    <col min="2806" max="2806" width="7.140625" style="10" customWidth="1"/>
    <col min="2807" max="2807" width="7.7109375" style="10" bestFit="1" customWidth="1"/>
    <col min="2808" max="2808" width="7.28515625" style="10" customWidth="1"/>
    <col min="2809" max="2809" width="7" style="10" customWidth="1"/>
    <col min="2810" max="2810" width="7.5703125" style="10" customWidth="1"/>
    <col min="2811" max="2811" width="7.140625" style="10" customWidth="1"/>
    <col min="2812" max="2812" width="7" style="10" customWidth="1"/>
    <col min="2813" max="2813" width="7.5703125" style="10" customWidth="1"/>
    <col min="2814" max="2814" width="7.140625" style="10" customWidth="1"/>
    <col min="2815" max="2831" width="8.7109375" style="10" customWidth="1"/>
    <col min="2832" max="2832" width="36.85546875" style="10" customWidth="1"/>
    <col min="2833" max="2839" width="14.28515625" style="10" customWidth="1"/>
    <col min="2840" max="3054" width="9.140625" style="10"/>
    <col min="3055" max="3055" width="38.5703125" style="10" customWidth="1"/>
    <col min="3056" max="3056" width="6.5703125" style="10" customWidth="1"/>
    <col min="3057" max="3057" width="7.7109375" style="10" bestFit="1" customWidth="1"/>
    <col min="3058" max="3058" width="7.28515625" style="10" customWidth="1"/>
    <col min="3059" max="3059" width="6.5703125" style="10" bestFit="1" customWidth="1"/>
    <col min="3060" max="3060" width="7.28515625" style="10" bestFit="1" customWidth="1"/>
    <col min="3061" max="3061" width="8.140625" style="10" customWidth="1"/>
    <col min="3062" max="3062" width="7.140625" style="10" customWidth="1"/>
    <col min="3063" max="3063" width="7.7109375" style="10" bestFit="1" customWidth="1"/>
    <col min="3064" max="3064" width="7.28515625" style="10" customWidth="1"/>
    <col min="3065" max="3065" width="7" style="10" customWidth="1"/>
    <col min="3066" max="3066" width="7.5703125" style="10" customWidth="1"/>
    <col min="3067" max="3067" width="7.140625" style="10" customWidth="1"/>
    <col min="3068" max="3068" width="7" style="10" customWidth="1"/>
    <col min="3069" max="3069" width="7.5703125" style="10" customWidth="1"/>
    <col min="3070" max="3070" width="7.140625" style="10" customWidth="1"/>
    <col min="3071" max="3087" width="8.7109375" style="10" customWidth="1"/>
    <col min="3088" max="3088" width="36.85546875" style="10" customWidth="1"/>
    <col min="3089" max="3095" width="14.28515625" style="10" customWidth="1"/>
    <col min="3096" max="3310" width="9.140625" style="10"/>
    <col min="3311" max="3311" width="38.5703125" style="10" customWidth="1"/>
    <col min="3312" max="3312" width="6.5703125" style="10" customWidth="1"/>
    <col min="3313" max="3313" width="7.7109375" style="10" bestFit="1" customWidth="1"/>
    <col min="3314" max="3314" width="7.28515625" style="10" customWidth="1"/>
    <col min="3315" max="3315" width="6.5703125" style="10" bestFit="1" customWidth="1"/>
    <col min="3316" max="3316" width="7.28515625" style="10" bestFit="1" customWidth="1"/>
    <col min="3317" max="3317" width="8.140625" style="10" customWidth="1"/>
    <col min="3318" max="3318" width="7.140625" style="10" customWidth="1"/>
    <col min="3319" max="3319" width="7.7109375" style="10" bestFit="1" customWidth="1"/>
    <col min="3320" max="3320" width="7.28515625" style="10" customWidth="1"/>
    <col min="3321" max="3321" width="7" style="10" customWidth="1"/>
    <col min="3322" max="3322" width="7.5703125" style="10" customWidth="1"/>
    <col min="3323" max="3323" width="7.140625" style="10" customWidth="1"/>
    <col min="3324" max="3324" width="7" style="10" customWidth="1"/>
    <col min="3325" max="3325" width="7.5703125" style="10" customWidth="1"/>
    <col min="3326" max="3326" width="7.140625" style="10" customWidth="1"/>
    <col min="3327" max="3343" width="8.7109375" style="10" customWidth="1"/>
    <col min="3344" max="3344" width="36.85546875" style="10" customWidth="1"/>
    <col min="3345" max="3351" width="14.28515625" style="10" customWidth="1"/>
    <col min="3352" max="3566" width="9.140625" style="10"/>
    <col min="3567" max="3567" width="38.5703125" style="10" customWidth="1"/>
    <col min="3568" max="3568" width="6.5703125" style="10" customWidth="1"/>
    <col min="3569" max="3569" width="7.7109375" style="10" bestFit="1" customWidth="1"/>
    <col min="3570" max="3570" width="7.28515625" style="10" customWidth="1"/>
    <col min="3571" max="3571" width="6.5703125" style="10" bestFit="1" customWidth="1"/>
    <col min="3572" max="3572" width="7.28515625" style="10" bestFit="1" customWidth="1"/>
    <col min="3573" max="3573" width="8.140625" style="10" customWidth="1"/>
    <col min="3574" max="3574" width="7.140625" style="10" customWidth="1"/>
    <col min="3575" max="3575" width="7.7109375" style="10" bestFit="1" customWidth="1"/>
    <col min="3576" max="3576" width="7.28515625" style="10" customWidth="1"/>
    <col min="3577" max="3577" width="7" style="10" customWidth="1"/>
    <col min="3578" max="3578" width="7.5703125" style="10" customWidth="1"/>
    <col min="3579" max="3579" width="7.140625" style="10" customWidth="1"/>
    <col min="3580" max="3580" width="7" style="10" customWidth="1"/>
    <col min="3581" max="3581" width="7.5703125" style="10" customWidth="1"/>
    <col min="3582" max="3582" width="7.140625" style="10" customWidth="1"/>
    <col min="3583" max="3599" width="8.7109375" style="10" customWidth="1"/>
    <col min="3600" max="3600" width="36.85546875" style="10" customWidth="1"/>
    <col min="3601" max="3607" width="14.28515625" style="10" customWidth="1"/>
    <col min="3608" max="3822" width="9.140625" style="10"/>
    <col min="3823" max="3823" width="38.5703125" style="10" customWidth="1"/>
    <col min="3824" max="3824" width="6.5703125" style="10" customWidth="1"/>
    <col min="3825" max="3825" width="7.7109375" style="10" bestFit="1" customWidth="1"/>
    <col min="3826" max="3826" width="7.28515625" style="10" customWidth="1"/>
    <col min="3827" max="3827" width="6.5703125" style="10" bestFit="1" customWidth="1"/>
    <col min="3828" max="3828" width="7.28515625" style="10" bestFit="1" customWidth="1"/>
    <col min="3829" max="3829" width="8.140625" style="10" customWidth="1"/>
    <col min="3830" max="3830" width="7.140625" style="10" customWidth="1"/>
    <col min="3831" max="3831" width="7.7109375" style="10" bestFit="1" customWidth="1"/>
    <col min="3832" max="3832" width="7.28515625" style="10" customWidth="1"/>
    <col min="3833" max="3833" width="7" style="10" customWidth="1"/>
    <col min="3834" max="3834" width="7.5703125" style="10" customWidth="1"/>
    <col min="3835" max="3835" width="7.140625" style="10" customWidth="1"/>
    <col min="3836" max="3836" width="7" style="10" customWidth="1"/>
    <col min="3837" max="3837" width="7.5703125" style="10" customWidth="1"/>
    <col min="3838" max="3838" width="7.140625" style="10" customWidth="1"/>
    <col min="3839" max="3855" width="8.7109375" style="10" customWidth="1"/>
    <col min="3856" max="3856" width="36.85546875" style="10" customWidth="1"/>
    <col min="3857" max="3863" width="14.28515625" style="10" customWidth="1"/>
    <col min="3864" max="4078" width="9.140625" style="10"/>
    <col min="4079" max="4079" width="38.5703125" style="10" customWidth="1"/>
    <col min="4080" max="4080" width="6.5703125" style="10" customWidth="1"/>
    <col min="4081" max="4081" width="7.7109375" style="10" bestFit="1" customWidth="1"/>
    <col min="4082" max="4082" width="7.28515625" style="10" customWidth="1"/>
    <col min="4083" max="4083" width="6.5703125" style="10" bestFit="1" customWidth="1"/>
    <col min="4084" max="4084" width="7.28515625" style="10" bestFit="1" customWidth="1"/>
    <col min="4085" max="4085" width="8.140625" style="10" customWidth="1"/>
    <col min="4086" max="4086" width="7.140625" style="10" customWidth="1"/>
    <col min="4087" max="4087" width="7.7109375" style="10" bestFit="1" customWidth="1"/>
    <col min="4088" max="4088" width="7.28515625" style="10" customWidth="1"/>
    <col min="4089" max="4089" width="7" style="10" customWidth="1"/>
    <col min="4090" max="4090" width="7.5703125" style="10" customWidth="1"/>
    <col min="4091" max="4091" width="7.140625" style="10" customWidth="1"/>
    <col min="4092" max="4092" width="7" style="10" customWidth="1"/>
    <col min="4093" max="4093" width="7.5703125" style="10" customWidth="1"/>
    <col min="4094" max="4094" width="7.140625" style="10" customWidth="1"/>
    <col min="4095" max="4111" width="8.7109375" style="10" customWidth="1"/>
    <col min="4112" max="4112" width="36.85546875" style="10" customWidth="1"/>
    <col min="4113" max="4119" width="14.28515625" style="10" customWidth="1"/>
    <col min="4120" max="4334" width="9.140625" style="10"/>
    <col min="4335" max="4335" width="38.5703125" style="10" customWidth="1"/>
    <col min="4336" max="4336" width="6.5703125" style="10" customWidth="1"/>
    <col min="4337" max="4337" width="7.7109375" style="10" bestFit="1" customWidth="1"/>
    <col min="4338" max="4338" width="7.28515625" style="10" customWidth="1"/>
    <col min="4339" max="4339" width="6.5703125" style="10" bestFit="1" customWidth="1"/>
    <col min="4340" max="4340" width="7.28515625" style="10" bestFit="1" customWidth="1"/>
    <col min="4341" max="4341" width="8.140625" style="10" customWidth="1"/>
    <col min="4342" max="4342" width="7.140625" style="10" customWidth="1"/>
    <col min="4343" max="4343" width="7.7109375" style="10" bestFit="1" customWidth="1"/>
    <col min="4344" max="4344" width="7.28515625" style="10" customWidth="1"/>
    <col min="4345" max="4345" width="7" style="10" customWidth="1"/>
    <col min="4346" max="4346" width="7.5703125" style="10" customWidth="1"/>
    <col min="4347" max="4347" width="7.140625" style="10" customWidth="1"/>
    <col min="4348" max="4348" width="7" style="10" customWidth="1"/>
    <col min="4349" max="4349" width="7.5703125" style="10" customWidth="1"/>
    <col min="4350" max="4350" width="7.140625" style="10" customWidth="1"/>
    <col min="4351" max="4367" width="8.7109375" style="10" customWidth="1"/>
    <col min="4368" max="4368" width="36.85546875" style="10" customWidth="1"/>
    <col min="4369" max="4375" width="14.28515625" style="10" customWidth="1"/>
    <col min="4376" max="4590" width="9.140625" style="10"/>
    <col min="4591" max="4591" width="38.5703125" style="10" customWidth="1"/>
    <col min="4592" max="4592" width="6.5703125" style="10" customWidth="1"/>
    <col min="4593" max="4593" width="7.7109375" style="10" bestFit="1" customWidth="1"/>
    <col min="4594" max="4594" width="7.28515625" style="10" customWidth="1"/>
    <col min="4595" max="4595" width="6.5703125" style="10" bestFit="1" customWidth="1"/>
    <col min="4596" max="4596" width="7.28515625" style="10" bestFit="1" customWidth="1"/>
    <col min="4597" max="4597" width="8.140625" style="10" customWidth="1"/>
    <col min="4598" max="4598" width="7.140625" style="10" customWidth="1"/>
    <col min="4599" max="4599" width="7.7109375" style="10" bestFit="1" customWidth="1"/>
    <col min="4600" max="4600" width="7.28515625" style="10" customWidth="1"/>
    <col min="4601" max="4601" width="7" style="10" customWidth="1"/>
    <col min="4602" max="4602" width="7.5703125" style="10" customWidth="1"/>
    <col min="4603" max="4603" width="7.140625" style="10" customWidth="1"/>
    <col min="4604" max="4604" width="7" style="10" customWidth="1"/>
    <col min="4605" max="4605" width="7.5703125" style="10" customWidth="1"/>
    <col min="4606" max="4606" width="7.140625" style="10" customWidth="1"/>
    <col min="4607" max="4623" width="8.7109375" style="10" customWidth="1"/>
    <col min="4624" max="4624" width="36.85546875" style="10" customWidth="1"/>
    <col min="4625" max="4631" width="14.28515625" style="10" customWidth="1"/>
    <col min="4632" max="4846" width="9.140625" style="10"/>
    <col min="4847" max="4847" width="38.5703125" style="10" customWidth="1"/>
    <col min="4848" max="4848" width="6.5703125" style="10" customWidth="1"/>
    <col min="4849" max="4849" width="7.7109375" style="10" bestFit="1" customWidth="1"/>
    <col min="4850" max="4850" width="7.28515625" style="10" customWidth="1"/>
    <col min="4851" max="4851" width="6.5703125" style="10" bestFit="1" customWidth="1"/>
    <col min="4852" max="4852" width="7.28515625" style="10" bestFit="1" customWidth="1"/>
    <col min="4853" max="4853" width="8.140625" style="10" customWidth="1"/>
    <col min="4854" max="4854" width="7.140625" style="10" customWidth="1"/>
    <col min="4855" max="4855" width="7.7109375" style="10" bestFit="1" customWidth="1"/>
    <col min="4856" max="4856" width="7.28515625" style="10" customWidth="1"/>
    <col min="4857" max="4857" width="7" style="10" customWidth="1"/>
    <col min="4858" max="4858" width="7.5703125" style="10" customWidth="1"/>
    <col min="4859" max="4859" width="7.140625" style="10" customWidth="1"/>
    <col min="4860" max="4860" width="7" style="10" customWidth="1"/>
    <col min="4861" max="4861" width="7.5703125" style="10" customWidth="1"/>
    <col min="4862" max="4862" width="7.140625" style="10" customWidth="1"/>
    <col min="4863" max="4879" width="8.7109375" style="10" customWidth="1"/>
    <col min="4880" max="4880" width="36.85546875" style="10" customWidth="1"/>
    <col min="4881" max="4887" width="14.28515625" style="10" customWidth="1"/>
    <col min="4888" max="5102" width="9.140625" style="10"/>
    <col min="5103" max="5103" width="38.5703125" style="10" customWidth="1"/>
    <col min="5104" max="5104" width="6.5703125" style="10" customWidth="1"/>
    <col min="5105" max="5105" width="7.7109375" style="10" bestFit="1" customWidth="1"/>
    <col min="5106" max="5106" width="7.28515625" style="10" customWidth="1"/>
    <col min="5107" max="5107" width="6.5703125" style="10" bestFit="1" customWidth="1"/>
    <col min="5108" max="5108" width="7.28515625" style="10" bestFit="1" customWidth="1"/>
    <col min="5109" max="5109" width="8.140625" style="10" customWidth="1"/>
    <col min="5110" max="5110" width="7.140625" style="10" customWidth="1"/>
    <col min="5111" max="5111" width="7.7109375" style="10" bestFit="1" customWidth="1"/>
    <col min="5112" max="5112" width="7.28515625" style="10" customWidth="1"/>
    <col min="5113" max="5113" width="7" style="10" customWidth="1"/>
    <col min="5114" max="5114" width="7.5703125" style="10" customWidth="1"/>
    <col min="5115" max="5115" width="7.140625" style="10" customWidth="1"/>
    <col min="5116" max="5116" width="7" style="10" customWidth="1"/>
    <col min="5117" max="5117" width="7.5703125" style="10" customWidth="1"/>
    <col min="5118" max="5118" width="7.140625" style="10" customWidth="1"/>
    <col min="5119" max="5135" width="8.7109375" style="10" customWidth="1"/>
    <col min="5136" max="5136" width="36.85546875" style="10" customWidth="1"/>
    <col min="5137" max="5143" width="14.28515625" style="10" customWidth="1"/>
    <col min="5144" max="5358" width="9.140625" style="10"/>
    <col min="5359" max="5359" width="38.5703125" style="10" customWidth="1"/>
    <col min="5360" max="5360" width="6.5703125" style="10" customWidth="1"/>
    <col min="5361" max="5361" width="7.7109375" style="10" bestFit="1" customWidth="1"/>
    <col min="5362" max="5362" width="7.28515625" style="10" customWidth="1"/>
    <col min="5363" max="5363" width="6.5703125" style="10" bestFit="1" customWidth="1"/>
    <col min="5364" max="5364" width="7.28515625" style="10" bestFit="1" customWidth="1"/>
    <col min="5365" max="5365" width="8.140625" style="10" customWidth="1"/>
    <col min="5366" max="5366" width="7.140625" style="10" customWidth="1"/>
    <col min="5367" max="5367" width="7.7109375" style="10" bestFit="1" customWidth="1"/>
    <col min="5368" max="5368" width="7.28515625" style="10" customWidth="1"/>
    <col min="5369" max="5369" width="7" style="10" customWidth="1"/>
    <col min="5370" max="5370" width="7.5703125" style="10" customWidth="1"/>
    <col min="5371" max="5371" width="7.140625" style="10" customWidth="1"/>
    <col min="5372" max="5372" width="7" style="10" customWidth="1"/>
    <col min="5373" max="5373" width="7.5703125" style="10" customWidth="1"/>
    <col min="5374" max="5374" width="7.140625" style="10" customWidth="1"/>
    <col min="5375" max="5391" width="8.7109375" style="10" customWidth="1"/>
    <col min="5392" max="5392" width="36.85546875" style="10" customWidth="1"/>
    <col min="5393" max="5399" width="14.28515625" style="10" customWidth="1"/>
    <col min="5400" max="5614" width="9.140625" style="10"/>
    <col min="5615" max="5615" width="38.5703125" style="10" customWidth="1"/>
    <col min="5616" max="5616" width="6.5703125" style="10" customWidth="1"/>
    <col min="5617" max="5617" width="7.7109375" style="10" bestFit="1" customWidth="1"/>
    <col min="5618" max="5618" width="7.28515625" style="10" customWidth="1"/>
    <col min="5619" max="5619" width="6.5703125" style="10" bestFit="1" customWidth="1"/>
    <col min="5620" max="5620" width="7.28515625" style="10" bestFit="1" customWidth="1"/>
    <col min="5621" max="5621" width="8.140625" style="10" customWidth="1"/>
    <col min="5622" max="5622" width="7.140625" style="10" customWidth="1"/>
    <col min="5623" max="5623" width="7.7109375" style="10" bestFit="1" customWidth="1"/>
    <col min="5624" max="5624" width="7.28515625" style="10" customWidth="1"/>
    <col min="5625" max="5625" width="7" style="10" customWidth="1"/>
    <col min="5626" max="5626" width="7.5703125" style="10" customWidth="1"/>
    <col min="5627" max="5627" width="7.140625" style="10" customWidth="1"/>
    <col min="5628" max="5628" width="7" style="10" customWidth="1"/>
    <col min="5629" max="5629" width="7.5703125" style="10" customWidth="1"/>
    <col min="5630" max="5630" width="7.140625" style="10" customWidth="1"/>
    <col min="5631" max="5647" width="8.7109375" style="10" customWidth="1"/>
    <col min="5648" max="5648" width="36.85546875" style="10" customWidth="1"/>
    <col min="5649" max="5655" width="14.28515625" style="10" customWidth="1"/>
    <col min="5656" max="5870" width="9.140625" style="10"/>
    <col min="5871" max="5871" width="38.5703125" style="10" customWidth="1"/>
    <col min="5872" max="5872" width="6.5703125" style="10" customWidth="1"/>
    <col min="5873" max="5873" width="7.7109375" style="10" bestFit="1" customWidth="1"/>
    <col min="5874" max="5874" width="7.28515625" style="10" customWidth="1"/>
    <col min="5875" max="5875" width="6.5703125" style="10" bestFit="1" customWidth="1"/>
    <col min="5876" max="5876" width="7.28515625" style="10" bestFit="1" customWidth="1"/>
    <col min="5877" max="5877" width="8.140625" style="10" customWidth="1"/>
    <col min="5878" max="5878" width="7.140625" style="10" customWidth="1"/>
    <col min="5879" max="5879" width="7.7109375" style="10" bestFit="1" customWidth="1"/>
    <col min="5880" max="5880" width="7.28515625" style="10" customWidth="1"/>
    <col min="5881" max="5881" width="7" style="10" customWidth="1"/>
    <col min="5882" max="5882" width="7.5703125" style="10" customWidth="1"/>
    <col min="5883" max="5883" width="7.140625" style="10" customWidth="1"/>
    <col min="5884" max="5884" width="7" style="10" customWidth="1"/>
    <col min="5885" max="5885" width="7.5703125" style="10" customWidth="1"/>
    <col min="5886" max="5886" width="7.140625" style="10" customWidth="1"/>
    <col min="5887" max="5903" width="8.7109375" style="10" customWidth="1"/>
    <col min="5904" max="5904" width="36.85546875" style="10" customWidth="1"/>
    <col min="5905" max="5911" width="14.28515625" style="10" customWidth="1"/>
    <col min="5912" max="6126" width="9.140625" style="10"/>
    <col min="6127" max="6127" width="38.5703125" style="10" customWidth="1"/>
    <col min="6128" max="6128" width="6.5703125" style="10" customWidth="1"/>
    <col min="6129" max="6129" width="7.7109375" style="10" bestFit="1" customWidth="1"/>
    <col min="6130" max="6130" width="7.28515625" style="10" customWidth="1"/>
    <col min="6131" max="6131" width="6.5703125" style="10" bestFit="1" customWidth="1"/>
    <col min="6132" max="6132" width="7.28515625" style="10" bestFit="1" customWidth="1"/>
    <col min="6133" max="6133" width="8.140625" style="10" customWidth="1"/>
    <col min="6134" max="6134" width="7.140625" style="10" customWidth="1"/>
    <col min="6135" max="6135" width="7.7109375" style="10" bestFit="1" customWidth="1"/>
    <col min="6136" max="6136" width="7.28515625" style="10" customWidth="1"/>
    <col min="6137" max="6137" width="7" style="10" customWidth="1"/>
    <col min="6138" max="6138" width="7.5703125" style="10" customWidth="1"/>
    <col min="6139" max="6139" width="7.140625" style="10" customWidth="1"/>
    <col min="6140" max="6140" width="7" style="10" customWidth="1"/>
    <col min="6141" max="6141" width="7.5703125" style="10" customWidth="1"/>
    <col min="6142" max="6142" width="7.140625" style="10" customWidth="1"/>
    <col min="6143" max="6159" width="8.7109375" style="10" customWidth="1"/>
    <col min="6160" max="6160" width="36.85546875" style="10" customWidth="1"/>
    <col min="6161" max="6167" width="14.28515625" style="10" customWidth="1"/>
    <col min="6168" max="6382" width="9.140625" style="10"/>
    <col min="6383" max="6383" width="38.5703125" style="10" customWidth="1"/>
    <col min="6384" max="6384" width="6.5703125" style="10" customWidth="1"/>
    <col min="6385" max="6385" width="7.7109375" style="10" bestFit="1" customWidth="1"/>
    <col min="6386" max="6386" width="7.28515625" style="10" customWidth="1"/>
    <col min="6387" max="6387" width="6.5703125" style="10" bestFit="1" customWidth="1"/>
    <col min="6388" max="6388" width="7.28515625" style="10" bestFit="1" customWidth="1"/>
    <col min="6389" max="6389" width="8.140625" style="10" customWidth="1"/>
    <col min="6390" max="6390" width="7.140625" style="10" customWidth="1"/>
    <col min="6391" max="6391" width="7.7109375" style="10" bestFit="1" customWidth="1"/>
    <col min="6392" max="6392" width="7.28515625" style="10" customWidth="1"/>
    <col min="6393" max="6393" width="7" style="10" customWidth="1"/>
    <col min="6394" max="6394" width="7.5703125" style="10" customWidth="1"/>
    <col min="6395" max="6395" width="7.140625" style="10" customWidth="1"/>
    <col min="6396" max="6396" width="7" style="10" customWidth="1"/>
    <col min="6397" max="6397" width="7.5703125" style="10" customWidth="1"/>
    <col min="6398" max="6398" width="7.140625" style="10" customWidth="1"/>
    <col min="6399" max="6415" width="8.7109375" style="10" customWidth="1"/>
    <col min="6416" max="6416" width="36.85546875" style="10" customWidth="1"/>
    <col min="6417" max="6423" width="14.28515625" style="10" customWidth="1"/>
    <col min="6424" max="6638" width="9.140625" style="10"/>
    <col min="6639" max="6639" width="38.5703125" style="10" customWidth="1"/>
    <col min="6640" max="6640" width="6.5703125" style="10" customWidth="1"/>
    <col min="6641" max="6641" width="7.7109375" style="10" bestFit="1" customWidth="1"/>
    <col min="6642" max="6642" width="7.28515625" style="10" customWidth="1"/>
    <col min="6643" max="6643" width="6.5703125" style="10" bestFit="1" customWidth="1"/>
    <col min="6644" max="6644" width="7.28515625" style="10" bestFit="1" customWidth="1"/>
    <col min="6645" max="6645" width="8.140625" style="10" customWidth="1"/>
    <col min="6646" max="6646" width="7.140625" style="10" customWidth="1"/>
    <col min="6647" max="6647" width="7.7109375" style="10" bestFit="1" customWidth="1"/>
    <col min="6648" max="6648" width="7.28515625" style="10" customWidth="1"/>
    <col min="6649" max="6649" width="7" style="10" customWidth="1"/>
    <col min="6650" max="6650" width="7.5703125" style="10" customWidth="1"/>
    <col min="6651" max="6651" width="7.140625" style="10" customWidth="1"/>
    <col min="6652" max="6652" width="7" style="10" customWidth="1"/>
    <col min="6653" max="6653" width="7.5703125" style="10" customWidth="1"/>
    <col min="6654" max="6654" width="7.140625" style="10" customWidth="1"/>
    <col min="6655" max="6671" width="8.7109375" style="10" customWidth="1"/>
    <col min="6672" max="6672" width="36.85546875" style="10" customWidth="1"/>
    <col min="6673" max="6679" width="14.28515625" style="10" customWidth="1"/>
    <col min="6680" max="6894" width="9.140625" style="10"/>
    <col min="6895" max="6895" width="38.5703125" style="10" customWidth="1"/>
    <col min="6896" max="6896" width="6.5703125" style="10" customWidth="1"/>
    <col min="6897" max="6897" width="7.7109375" style="10" bestFit="1" customWidth="1"/>
    <col min="6898" max="6898" width="7.28515625" style="10" customWidth="1"/>
    <col min="6899" max="6899" width="6.5703125" style="10" bestFit="1" customWidth="1"/>
    <col min="6900" max="6900" width="7.28515625" style="10" bestFit="1" customWidth="1"/>
    <col min="6901" max="6901" width="8.140625" style="10" customWidth="1"/>
    <col min="6902" max="6902" width="7.140625" style="10" customWidth="1"/>
    <col min="6903" max="6903" width="7.7109375" style="10" bestFit="1" customWidth="1"/>
    <col min="6904" max="6904" width="7.28515625" style="10" customWidth="1"/>
    <col min="6905" max="6905" width="7" style="10" customWidth="1"/>
    <col min="6906" max="6906" width="7.5703125" style="10" customWidth="1"/>
    <col min="6907" max="6907" width="7.140625" style="10" customWidth="1"/>
    <col min="6908" max="6908" width="7" style="10" customWidth="1"/>
    <col min="6909" max="6909" width="7.5703125" style="10" customWidth="1"/>
    <col min="6910" max="6910" width="7.140625" style="10" customWidth="1"/>
    <col min="6911" max="6927" width="8.7109375" style="10" customWidth="1"/>
    <col min="6928" max="6928" width="36.85546875" style="10" customWidth="1"/>
    <col min="6929" max="6935" width="14.28515625" style="10" customWidth="1"/>
    <col min="6936" max="7150" width="9.140625" style="10"/>
    <col min="7151" max="7151" width="38.5703125" style="10" customWidth="1"/>
    <col min="7152" max="7152" width="6.5703125" style="10" customWidth="1"/>
    <col min="7153" max="7153" width="7.7109375" style="10" bestFit="1" customWidth="1"/>
    <col min="7154" max="7154" width="7.28515625" style="10" customWidth="1"/>
    <col min="7155" max="7155" width="6.5703125" style="10" bestFit="1" customWidth="1"/>
    <col min="7156" max="7156" width="7.28515625" style="10" bestFit="1" customWidth="1"/>
    <col min="7157" max="7157" width="8.140625" style="10" customWidth="1"/>
    <col min="7158" max="7158" width="7.140625" style="10" customWidth="1"/>
    <col min="7159" max="7159" width="7.7109375" style="10" bestFit="1" customWidth="1"/>
    <col min="7160" max="7160" width="7.28515625" style="10" customWidth="1"/>
    <col min="7161" max="7161" width="7" style="10" customWidth="1"/>
    <col min="7162" max="7162" width="7.5703125" style="10" customWidth="1"/>
    <col min="7163" max="7163" width="7.140625" style="10" customWidth="1"/>
    <col min="7164" max="7164" width="7" style="10" customWidth="1"/>
    <col min="7165" max="7165" width="7.5703125" style="10" customWidth="1"/>
    <col min="7166" max="7166" width="7.140625" style="10" customWidth="1"/>
    <col min="7167" max="7183" width="8.7109375" style="10" customWidth="1"/>
    <col min="7184" max="7184" width="36.85546875" style="10" customWidth="1"/>
    <col min="7185" max="7191" width="14.28515625" style="10" customWidth="1"/>
    <col min="7192" max="7406" width="9.140625" style="10"/>
    <col min="7407" max="7407" width="38.5703125" style="10" customWidth="1"/>
    <col min="7408" max="7408" width="6.5703125" style="10" customWidth="1"/>
    <col min="7409" max="7409" width="7.7109375" style="10" bestFit="1" customWidth="1"/>
    <col min="7410" max="7410" width="7.28515625" style="10" customWidth="1"/>
    <col min="7411" max="7411" width="6.5703125" style="10" bestFit="1" customWidth="1"/>
    <col min="7412" max="7412" width="7.28515625" style="10" bestFit="1" customWidth="1"/>
    <col min="7413" max="7413" width="8.140625" style="10" customWidth="1"/>
    <col min="7414" max="7414" width="7.140625" style="10" customWidth="1"/>
    <col min="7415" max="7415" width="7.7109375" style="10" bestFit="1" customWidth="1"/>
    <col min="7416" max="7416" width="7.28515625" style="10" customWidth="1"/>
    <col min="7417" max="7417" width="7" style="10" customWidth="1"/>
    <col min="7418" max="7418" width="7.5703125" style="10" customWidth="1"/>
    <col min="7419" max="7419" width="7.140625" style="10" customWidth="1"/>
    <col min="7420" max="7420" width="7" style="10" customWidth="1"/>
    <col min="7421" max="7421" width="7.5703125" style="10" customWidth="1"/>
    <col min="7422" max="7422" width="7.140625" style="10" customWidth="1"/>
    <col min="7423" max="7439" width="8.7109375" style="10" customWidth="1"/>
    <col min="7440" max="7440" width="36.85546875" style="10" customWidth="1"/>
    <col min="7441" max="7447" width="14.28515625" style="10" customWidth="1"/>
    <col min="7448" max="7662" width="9.140625" style="10"/>
    <col min="7663" max="7663" width="38.5703125" style="10" customWidth="1"/>
    <col min="7664" max="7664" width="6.5703125" style="10" customWidth="1"/>
    <col min="7665" max="7665" width="7.7109375" style="10" bestFit="1" customWidth="1"/>
    <col min="7666" max="7666" width="7.28515625" style="10" customWidth="1"/>
    <col min="7667" max="7667" width="6.5703125" style="10" bestFit="1" customWidth="1"/>
    <col min="7668" max="7668" width="7.28515625" style="10" bestFit="1" customWidth="1"/>
    <col min="7669" max="7669" width="8.140625" style="10" customWidth="1"/>
    <col min="7670" max="7670" width="7.140625" style="10" customWidth="1"/>
    <col min="7671" max="7671" width="7.7109375" style="10" bestFit="1" customWidth="1"/>
    <col min="7672" max="7672" width="7.28515625" style="10" customWidth="1"/>
    <col min="7673" max="7673" width="7" style="10" customWidth="1"/>
    <col min="7674" max="7674" width="7.5703125" style="10" customWidth="1"/>
    <col min="7675" max="7675" width="7.140625" style="10" customWidth="1"/>
    <col min="7676" max="7676" width="7" style="10" customWidth="1"/>
    <col min="7677" max="7677" width="7.5703125" style="10" customWidth="1"/>
    <col min="7678" max="7678" width="7.140625" style="10" customWidth="1"/>
    <col min="7679" max="7695" width="8.7109375" style="10" customWidth="1"/>
    <col min="7696" max="7696" width="36.85546875" style="10" customWidth="1"/>
    <col min="7697" max="7703" width="14.28515625" style="10" customWidth="1"/>
    <col min="7704" max="7918" width="9.140625" style="10"/>
    <col min="7919" max="7919" width="38.5703125" style="10" customWidth="1"/>
    <col min="7920" max="7920" width="6.5703125" style="10" customWidth="1"/>
    <col min="7921" max="7921" width="7.7109375" style="10" bestFit="1" customWidth="1"/>
    <col min="7922" max="7922" width="7.28515625" style="10" customWidth="1"/>
    <col min="7923" max="7923" width="6.5703125" style="10" bestFit="1" customWidth="1"/>
    <col min="7924" max="7924" width="7.28515625" style="10" bestFit="1" customWidth="1"/>
    <col min="7925" max="7925" width="8.140625" style="10" customWidth="1"/>
    <col min="7926" max="7926" width="7.140625" style="10" customWidth="1"/>
    <col min="7927" max="7927" width="7.7109375" style="10" bestFit="1" customWidth="1"/>
    <col min="7928" max="7928" width="7.28515625" style="10" customWidth="1"/>
    <col min="7929" max="7929" width="7" style="10" customWidth="1"/>
    <col min="7930" max="7930" width="7.5703125" style="10" customWidth="1"/>
    <col min="7931" max="7931" width="7.140625" style="10" customWidth="1"/>
    <col min="7932" max="7932" width="7" style="10" customWidth="1"/>
    <col min="7933" max="7933" width="7.5703125" style="10" customWidth="1"/>
    <col min="7934" max="7934" width="7.140625" style="10" customWidth="1"/>
    <col min="7935" max="7951" width="8.7109375" style="10" customWidth="1"/>
    <col min="7952" max="7952" width="36.85546875" style="10" customWidth="1"/>
    <col min="7953" max="7959" width="14.28515625" style="10" customWidth="1"/>
    <col min="7960" max="8174" width="9.140625" style="10"/>
    <col min="8175" max="8175" width="38.5703125" style="10" customWidth="1"/>
    <col min="8176" max="8176" width="6.5703125" style="10" customWidth="1"/>
    <col min="8177" max="8177" width="7.7109375" style="10" bestFit="1" customWidth="1"/>
    <col min="8178" max="8178" width="7.28515625" style="10" customWidth="1"/>
    <col min="8179" max="8179" width="6.5703125" style="10" bestFit="1" customWidth="1"/>
    <col min="8180" max="8180" width="7.28515625" style="10" bestFit="1" customWidth="1"/>
    <col min="8181" max="8181" width="8.140625" style="10" customWidth="1"/>
    <col min="8182" max="8182" width="7.140625" style="10" customWidth="1"/>
    <col min="8183" max="8183" width="7.7109375" style="10" bestFit="1" customWidth="1"/>
    <col min="8184" max="8184" width="7.28515625" style="10" customWidth="1"/>
    <col min="8185" max="8185" width="7" style="10" customWidth="1"/>
    <col min="8186" max="8186" width="7.5703125" style="10" customWidth="1"/>
    <col min="8187" max="8187" width="7.140625" style="10" customWidth="1"/>
    <col min="8188" max="8188" width="7" style="10" customWidth="1"/>
    <col min="8189" max="8189" width="7.5703125" style="10" customWidth="1"/>
    <col min="8190" max="8190" width="7.140625" style="10" customWidth="1"/>
    <col min="8191" max="8207" width="8.7109375" style="10" customWidth="1"/>
    <col min="8208" max="8208" width="36.85546875" style="10" customWidth="1"/>
    <col min="8209" max="8215" width="14.28515625" style="10" customWidth="1"/>
    <col min="8216" max="8430" width="9.140625" style="10"/>
    <col min="8431" max="8431" width="38.5703125" style="10" customWidth="1"/>
    <col min="8432" max="8432" width="6.5703125" style="10" customWidth="1"/>
    <col min="8433" max="8433" width="7.7109375" style="10" bestFit="1" customWidth="1"/>
    <col min="8434" max="8434" width="7.28515625" style="10" customWidth="1"/>
    <col min="8435" max="8435" width="6.5703125" style="10" bestFit="1" customWidth="1"/>
    <col min="8436" max="8436" width="7.28515625" style="10" bestFit="1" customWidth="1"/>
    <col min="8437" max="8437" width="8.140625" style="10" customWidth="1"/>
    <col min="8438" max="8438" width="7.140625" style="10" customWidth="1"/>
    <col min="8439" max="8439" width="7.7109375" style="10" bestFit="1" customWidth="1"/>
    <col min="8440" max="8440" width="7.28515625" style="10" customWidth="1"/>
    <col min="8441" max="8441" width="7" style="10" customWidth="1"/>
    <col min="8442" max="8442" width="7.5703125" style="10" customWidth="1"/>
    <col min="8443" max="8443" width="7.140625" style="10" customWidth="1"/>
    <col min="8444" max="8444" width="7" style="10" customWidth="1"/>
    <col min="8445" max="8445" width="7.5703125" style="10" customWidth="1"/>
    <col min="8446" max="8446" width="7.140625" style="10" customWidth="1"/>
    <col min="8447" max="8463" width="8.7109375" style="10" customWidth="1"/>
    <col min="8464" max="8464" width="36.85546875" style="10" customWidth="1"/>
    <col min="8465" max="8471" width="14.28515625" style="10" customWidth="1"/>
    <col min="8472" max="8686" width="9.140625" style="10"/>
    <col min="8687" max="8687" width="38.5703125" style="10" customWidth="1"/>
    <col min="8688" max="8688" width="6.5703125" style="10" customWidth="1"/>
    <col min="8689" max="8689" width="7.7109375" style="10" bestFit="1" customWidth="1"/>
    <col min="8690" max="8690" width="7.28515625" style="10" customWidth="1"/>
    <col min="8691" max="8691" width="6.5703125" style="10" bestFit="1" customWidth="1"/>
    <col min="8692" max="8692" width="7.28515625" style="10" bestFit="1" customWidth="1"/>
    <col min="8693" max="8693" width="8.140625" style="10" customWidth="1"/>
    <col min="8694" max="8694" width="7.140625" style="10" customWidth="1"/>
    <col min="8695" max="8695" width="7.7109375" style="10" bestFit="1" customWidth="1"/>
    <col min="8696" max="8696" width="7.28515625" style="10" customWidth="1"/>
    <col min="8697" max="8697" width="7" style="10" customWidth="1"/>
    <col min="8698" max="8698" width="7.5703125" style="10" customWidth="1"/>
    <col min="8699" max="8699" width="7.140625" style="10" customWidth="1"/>
    <col min="8700" max="8700" width="7" style="10" customWidth="1"/>
    <col min="8701" max="8701" width="7.5703125" style="10" customWidth="1"/>
    <col min="8702" max="8702" width="7.140625" style="10" customWidth="1"/>
    <col min="8703" max="8719" width="8.7109375" style="10" customWidth="1"/>
    <col min="8720" max="8720" width="36.85546875" style="10" customWidth="1"/>
    <col min="8721" max="8727" width="14.28515625" style="10" customWidth="1"/>
    <col min="8728" max="8942" width="9.140625" style="10"/>
    <col min="8943" max="8943" width="38.5703125" style="10" customWidth="1"/>
    <col min="8944" max="8944" width="6.5703125" style="10" customWidth="1"/>
    <col min="8945" max="8945" width="7.7109375" style="10" bestFit="1" customWidth="1"/>
    <col min="8946" max="8946" width="7.28515625" style="10" customWidth="1"/>
    <col min="8947" max="8947" width="6.5703125" style="10" bestFit="1" customWidth="1"/>
    <col min="8948" max="8948" width="7.28515625" style="10" bestFit="1" customWidth="1"/>
    <col min="8949" max="8949" width="8.140625" style="10" customWidth="1"/>
    <col min="8950" max="8950" width="7.140625" style="10" customWidth="1"/>
    <col min="8951" max="8951" width="7.7109375" style="10" bestFit="1" customWidth="1"/>
    <col min="8952" max="8952" width="7.28515625" style="10" customWidth="1"/>
    <col min="8953" max="8953" width="7" style="10" customWidth="1"/>
    <col min="8954" max="8954" width="7.5703125" style="10" customWidth="1"/>
    <col min="8955" max="8955" width="7.140625" style="10" customWidth="1"/>
    <col min="8956" max="8956" width="7" style="10" customWidth="1"/>
    <col min="8957" max="8957" width="7.5703125" style="10" customWidth="1"/>
    <col min="8958" max="8958" width="7.140625" style="10" customWidth="1"/>
    <col min="8959" max="8975" width="8.7109375" style="10" customWidth="1"/>
    <col min="8976" max="8976" width="36.85546875" style="10" customWidth="1"/>
    <col min="8977" max="8983" width="14.28515625" style="10" customWidth="1"/>
    <col min="8984" max="9198" width="9.140625" style="10"/>
    <col min="9199" max="9199" width="38.5703125" style="10" customWidth="1"/>
    <col min="9200" max="9200" width="6.5703125" style="10" customWidth="1"/>
    <col min="9201" max="9201" width="7.7109375" style="10" bestFit="1" customWidth="1"/>
    <col min="9202" max="9202" width="7.28515625" style="10" customWidth="1"/>
    <col min="9203" max="9203" width="6.5703125" style="10" bestFit="1" customWidth="1"/>
    <col min="9204" max="9204" width="7.28515625" style="10" bestFit="1" customWidth="1"/>
    <col min="9205" max="9205" width="8.140625" style="10" customWidth="1"/>
    <col min="9206" max="9206" width="7.140625" style="10" customWidth="1"/>
    <col min="9207" max="9207" width="7.7109375" style="10" bestFit="1" customWidth="1"/>
    <col min="9208" max="9208" width="7.28515625" style="10" customWidth="1"/>
    <col min="9209" max="9209" width="7" style="10" customWidth="1"/>
    <col min="9210" max="9210" width="7.5703125" style="10" customWidth="1"/>
    <col min="9211" max="9211" width="7.140625" style="10" customWidth="1"/>
    <col min="9212" max="9212" width="7" style="10" customWidth="1"/>
    <col min="9213" max="9213" width="7.5703125" style="10" customWidth="1"/>
    <col min="9214" max="9214" width="7.140625" style="10" customWidth="1"/>
    <col min="9215" max="9231" width="8.7109375" style="10" customWidth="1"/>
    <col min="9232" max="9232" width="36.85546875" style="10" customWidth="1"/>
    <col min="9233" max="9239" width="14.28515625" style="10" customWidth="1"/>
    <col min="9240" max="9454" width="9.140625" style="10"/>
    <col min="9455" max="9455" width="38.5703125" style="10" customWidth="1"/>
    <col min="9456" max="9456" width="6.5703125" style="10" customWidth="1"/>
    <col min="9457" max="9457" width="7.7109375" style="10" bestFit="1" customWidth="1"/>
    <col min="9458" max="9458" width="7.28515625" style="10" customWidth="1"/>
    <col min="9459" max="9459" width="6.5703125" style="10" bestFit="1" customWidth="1"/>
    <col min="9460" max="9460" width="7.28515625" style="10" bestFit="1" customWidth="1"/>
    <col min="9461" max="9461" width="8.140625" style="10" customWidth="1"/>
    <col min="9462" max="9462" width="7.140625" style="10" customWidth="1"/>
    <col min="9463" max="9463" width="7.7109375" style="10" bestFit="1" customWidth="1"/>
    <col min="9464" max="9464" width="7.28515625" style="10" customWidth="1"/>
    <col min="9465" max="9465" width="7" style="10" customWidth="1"/>
    <col min="9466" max="9466" width="7.5703125" style="10" customWidth="1"/>
    <col min="9467" max="9467" width="7.140625" style="10" customWidth="1"/>
    <col min="9468" max="9468" width="7" style="10" customWidth="1"/>
    <col min="9469" max="9469" width="7.5703125" style="10" customWidth="1"/>
    <col min="9470" max="9470" width="7.140625" style="10" customWidth="1"/>
    <col min="9471" max="9487" width="8.7109375" style="10" customWidth="1"/>
    <col min="9488" max="9488" width="36.85546875" style="10" customWidth="1"/>
    <col min="9489" max="9495" width="14.28515625" style="10" customWidth="1"/>
    <col min="9496" max="9710" width="9.140625" style="10"/>
    <col min="9711" max="9711" width="38.5703125" style="10" customWidth="1"/>
    <col min="9712" max="9712" width="6.5703125" style="10" customWidth="1"/>
    <col min="9713" max="9713" width="7.7109375" style="10" bestFit="1" customWidth="1"/>
    <col min="9714" max="9714" width="7.28515625" style="10" customWidth="1"/>
    <col min="9715" max="9715" width="6.5703125" style="10" bestFit="1" customWidth="1"/>
    <col min="9716" max="9716" width="7.28515625" style="10" bestFit="1" customWidth="1"/>
    <col min="9717" max="9717" width="8.140625" style="10" customWidth="1"/>
    <col min="9718" max="9718" width="7.140625" style="10" customWidth="1"/>
    <col min="9719" max="9719" width="7.7109375" style="10" bestFit="1" customWidth="1"/>
    <col min="9720" max="9720" width="7.28515625" style="10" customWidth="1"/>
    <col min="9721" max="9721" width="7" style="10" customWidth="1"/>
    <col min="9722" max="9722" width="7.5703125" style="10" customWidth="1"/>
    <col min="9723" max="9723" width="7.140625" style="10" customWidth="1"/>
    <col min="9724" max="9724" width="7" style="10" customWidth="1"/>
    <col min="9725" max="9725" width="7.5703125" style="10" customWidth="1"/>
    <col min="9726" max="9726" width="7.140625" style="10" customWidth="1"/>
    <col min="9727" max="9743" width="8.7109375" style="10" customWidth="1"/>
    <col min="9744" max="9744" width="36.85546875" style="10" customWidth="1"/>
    <col min="9745" max="9751" width="14.28515625" style="10" customWidth="1"/>
    <col min="9752" max="9966" width="9.140625" style="10"/>
    <col min="9967" max="9967" width="38.5703125" style="10" customWidth="1"/>
    <col min="9968" max="9968" width="6.5703125" style="10" customWidth="1"/>
    <col min="9969" max="9969" width="7.7109375" style="10" bestFit="1" customWidth="1"/>
    <col min="9970" max="9970" width="7.28515625" style="10" customWidth="1"/>
    <col min="9971" max="9971" width="6.5703125" style="10" bestFit="1" customWidth="1"/>
    <col min="9972" max="9972" width="7.28515625" style="10" bestFit="1" customWidth="1"/>
    <col min="9973" max="9973" width="8.140625" style="10" customWidth="1"/>
    <col min="9974" max="9974" width="7.140625" style="10" customWidth="1"/>
    <col min="9975" max="9975" width="7.7109375" style="10" bestFit="1" customWidth="1"/>
    <col min="9976" max="9976" width="7.28515625" style="10" customWidth="1"/>
    <col min="9977" max="9977" width="7" style="10" customWidth="1"/>
    <col min="9978" max="9978" width="7.5703125" style="10" customWidth="1"/>
    <col min="9979" max="9979" width="7.140625" style="10" customWidth="1"/>
    <col min="9980" max="9980" width="7" style="10" customWidth="1"/>
    <col min="9981" max="9981" width="7.5703125" style="10" customWidth="1"/>
    <col min="9982" max="9982" width="7.140625" style="10" customWidth="1"/>
    <col min="9983" max="9999" width="8.7109375" style="10" customWidth="1"/>
    <col min="10000" max="10000" width="36.85546875" style="10" customWidth="1"/>
    <col min="10001" max="10007" width="14.28515625" style="10" customWidth="1"/>
    <col min="10008" max="10222" width="9.140625" style="10"/>
    <col min="10223" max="10223" width="38.5703125" style="10" customWidth="1"/>
    <col min="10224" max="10224" width="6.5703125" style="10" customWidth="1"/>
    <col min="10225" max="10225" width="7.7109375" style="10" bestFit="1" customWidth="1"/>
    <col min="10226" max="10226" width="7.28515625" style="10" customWidth="1"/>
    <col min="10227" max="10227" width="6.5703125" style="10" bestFit="1" customWidth="1"/>
    <col min="10228" max="10228" width="7.28515625" style="10" bestFit="1" customWidth="1"/>
    <col min="10229" max="10229" width="8.140625" style="10" customWidth="1"/>
    <col min="10230" max="10230" width="7.140625" style="10" customWidth="1"/>
    <col min="10231" max="10231" width="7.7109375" style="10" bestFit="1" customWidth="1"/>
    <col min="10232" max="10232" width="7.28515625" style="10" customWidth="1"/>
    <col min="10233" max="10233" width="7" style="10" customWidth="1"/>
    <col min="10234" max="10234" width="7.5703125" style="10" customWidth="1"/>
    <col min="10235" max="10235" width="7.140625" style="10" customWidth="1"/>
    <col min="10236" max="10236" width="7" style="10" customWidth="1"/>
    <col min="10237" max="10237" width="7.5703125" style="10" customWidth="1"/>
    <col min="10238" max="10238" width="7.140625" style="10" customWidth="1"/>
    <col min="10239" max="10255" width="8.7109375" style="10" customWidth="1"/>
    <col min="10256" max="10256" width="36.85546875" style="10" customWidth="1"/>
    <col min="10257" max="10263" width="14.28515625" style="10" customWidth="1"/>
    <col min="10264" max="10478" width="9.140625" style="10"/>
    <col min="10479" max="10479" width="38.5703125" style="10" customWidth="1"/>
    <col min="10480" max="10480" width="6.5703125" style="10" customWidth="1"/>
    <col min="10481" max="10481" width="7.7109375" style="10" bestFit="1" customWidth="1"/>
    <col min="10482" max="10482" width="7.28515625" style="10" customWidth="1"/>
    <col min="10483" max="10483" width="6.5703125" style="10" bestFit="1" customWidth="1"/>
    <col min="10484" max="10484" width="7.28515625" style="10" bestFit="1" customWidth="1"/>
    <col min="10485" max="10485" width="8.140625" style="10" customWidth="1"/>
    <col min="10486" max="10486" width="7.140625" style="10" customWidth="1"/>
    <col min="10487" max="10487" width="7.7109375" style="10" bestFit="1" customWidth="1"/>
    <col min="10488" max="10488" width="7.28515625" style="10" customWidth="1"/>
    <col min="10489" max="10489" width="7" style="10" customWidth="1"/>
    <col min="10490" max="10490" width="7.5703125" style="10" customWidth="1"/>
    <col min="10491" max="10491" width="7.140625" style="10" customWidth="1"/>
    <col min="10492" max="10492" width="7" style="10" customWidth="1"/>
    <col min="10493" max="10493" width="7.5703125" style="10" customWidth="1"/>
    <col min="10494" max="10494" width="7.140625" style="10" customWidth="1"/>
    <col min="10495" max="10511" width="8.7109375" style="10" customWidth="1"/>
    <col min="10512" max="10512" width="36.85546875" style="10" customWidth="1"/>
    <col min="10513" max="10519" width="14.28515625" style="10" customWidth="1"/>
    <col min="10520" max="10734" width="9.140625" style="10"/>
    <col min="10735" max="10735" width="38.5703125" style="10" customWidth="1"/>
    <col min="10736" max="10736" width="6.5703125" style="10" customWidth="1"/>
    <col min="10737" max="10737" width="7.7109375" style="10" bestFit="1" customWidth="1"/>
    <col min="10738" max="10738" width="7.28515625" style="10" customWidth="1"/>
    <col min="10739" max="10739" width="6.5703125" style="10" bestFit="1" customWidth="1"/>
    <col min="10740" max="10740" width="7.28515625" style="10" bestFit="1" customWidth="1"/>
    <col min="10741" max="10741" width="8.140625" style="10" customWidth="1"/>
    <col min="10742" max="10742" width="7.140625" style="10" customWidth="1"/>
    <col min="10743" max="10743" width="7.7109375" style="10" bestFit="1" customWidth="1"/>
    <col min="10744" max="10744" width="7.28515625" style="10" customWidth="1"/>
    <col min="10745" max="10745" width="7" style="10" customWidth="1"/>
    <col min="10746" max="10746" width="7.5703125" style="10" customWidth="1"/>
    <col min="10747" max="10747" width="7.140625" style="10" customWidth="1"/>
    <col min="10748" max="10748" width="7" style="10" customWidth="1"/>
    <col min="10749" max="10749" width="7.5703125" style="10" customWidth="1"/>
    <col min="10750" max="10750" width="7.140625" style="10" customWidth="1"/>
    <col min="10751" max="10767" width="8.7109375" style="10" customWidth="1"/>
    <col min="10768" max="10768" width="36.85546875" style="10" customWidth="1"/>
    <col min="10769" max="10775" width="14.28515625" style="10" customWidth="1"/>
    <col min="10776" max="10990" width="9.140625" style="10"/>
    <col min="10991" max="10991" width="38.5703125" style="10" customWidth="1"/>
    <col min="10992" max="10992" width="6.5703125" style="10" customWidth="1"/>
    <col min="10993" max="10993" width="7.7109375" style="10" bestFit="1" customWidth="1"/>
    <col min="10994" max="10994" width="7.28515625" style="10" customWidth="1"/>
    <col min="10995" max="10995" width="6.5703125" style="10" bestFit="1" customWidth="1"/>
    <col min="10996" max="10996" width="7.28515625" style="10" bestFit="1" customWidth="1"/>
    <col min="10997" max="10997" width="8.140625" style="10" customWidth="1"/>
    <col min="10998" max="10998" width="7.140625" style="10" customWidth="1"/>
    <col min="10999" max="10999" width="7.7109375" style="10" bestFit="1" customWidth="1"/>
    <col min="11000" max="11000" width="7.28515625" style="10" customWidth="1"/>
    <col min="11001" max="11001" width="7" style="10" customWidth="1"/>
    <col min="11002" max="11002" width="7.5703125" style="10" customWidth="1"/>
    <col min="11003" max="11003" width="7.140625" style="10" customWidth="1"/>
    <col min="11004" max="11004" width="7" style="10" customWidth="1"/>
    <col min="11005" max="11005" width="7.5703125" style="10" customWidth="1"/>
    <col min="11006" max="11006" width="7.140625" style="10" customWidth="1"/>
    <col min="11007" max="11023" width="8.7109375" style="10" customWidth="1"/>
    <col min="11024" max="11024" width="36.85546875" style="10" customWidth="1"/>
    <col min="11025" max="11031" width="14.28515625" style="10" customWidth="1"/>
    <col min="11032" max="11246" width="9.140625" style="10"/>
    <col min="11247" max="11247" width="38.5703125" style="10" customWidth="1"/>
    <col min="11248" max="11248" width="6.5703125" style="10" customWidth="1"/>
    <col min="11249" max="11249" width="7.7109375" style="10" bestFit="1" customWidth="1"/>
    <col min="11250" max="11250" width="7.28515625" style="10" customWidth="1"/>
    <col min="11251" max="11251" width="6.5703125" style="10" bestFit="1" customWidth="1"/>
    <col min="11252" max="11252" width="7.28515625" style="10" bestFit="1" customWidth="1"/>
    <col min="11253" max="11253" width="8.140625" style="10" customWidth="1"/>
    <col min="11254" max="11254" width="7.140625" style="10" customWidth="1"/>
    <col min="11255" max="11255" width="7.7109375" style="10" bestFit="1" customWidth="1"/>
    <col min="11256" max="11256" width="7.28515625" style="10" customWidth="1"/>
    <col min="11257" max="11257" width="7" style="10" customWidth="1"/>
    <col min="11258" max="11258" width="7.5703125" style="10" customWidth="1"/>
    <col min="11259" max="11259" width="7.140625" style="10" customWidth="1"/>
    <col min="11260" max="11260" width="7" style="10" customWidth="1"/>
    <col min="11261" max="11261" width="7.5703125" style="10" customWidth="1"/>
    <col min="11262" max="11262" width="7.140625" style="10" customWidth="1"/>
    <col min="11263" max="11279" width="8.7109375" style="10" customWidth="1"/>
    <col min="11280" max="11280" width="36.85546875" style="10" customWidth="1"/>
    <col min="11281" max="11287" width="14.28515625" style="10" customWidth="1"/>
    <col min="11288" max="11502" width="9.140625" style="10"/>
    <col min="11503" max="11503" width="38.5703125" style="10" customWidth="1"/>
    <col min="11504" max="11504" width="6.5703125" style="10" customWidth="1"/>
    <col min="11505" max="11505" width="7.7109375" style="10" bestFit="1" customWidth="1"/>
    <col min="11506" max="11506" width="7.28515625" style="10" customWidth="1"/>
    <col min="11507" max="11507" width="6.5703125" style="10" bestFit="1" customWidth="1"/>
    <col min="11508" max="11508" width="7.28515625" style="10" bestFit="1" customWidth="1"/>
    <col min="11509" max="11509" width="8.140625" style="10" customWidth="1"/>
    <col min="11510" max="11510" width="7.140625" style="10" customWidth="1"/>
    <col min="11511" max="11511" width="7.7109375" style="10" bestFit="1" customWidth="1"/>
    <col min="11512" max="11512" width="7.28515625" style="10" customWidth="1"/>
    <col min="11513" max="11513" width="7" style="10" customWidth="1"/>
    <col min="11514" max="11514" width="7.5703125" style="10" customWidth="1"/>
    <col min="11515" max="11515" width="7.140625" style="10" customWidth="1"/>
    <col min="11516" max="11516" width="7" style="10" customWidth="1"/>
    <col min="11517" max="11517" width="7.5703125" style="10" customWidth="1"/>
    <col min="11518" max="11518" width="7.140625" style="10" customWidth="1"/>
    <col min="11519" max="11535" width="8.7109375" style="10" customWidth="1"/>
    <col min="11536" max="11536" width="36.85546875" style="10" customWidth="1"/>
    <col min="11537" max="11543" width="14.28515625" style="10" customWidth="1"/>
    <col min="11544" max="11758" width="9.140625" style="10"/>
    <col min="11759" max="11759" width="38.5703125" style="10" customWidth="1"/>
    <col min="11760" max="11760" width="6.5703125" style="10" customWidth="1"/>
    <col min="11761" max="11761" width="7.7109375" style="10" bestFit="1" customWidth="1"/>
    <col min="11762" max="11762" width="7.28515625" style="10" customWidth="1"/>
    <col min="11763" max="11763" width="6.5703125" style="10" bestFit="1" customWidth="1"/>
    <col min="11764" max="11764" width="7.28515625" style="10" bestFit="1" customWidth="1"/>
    <col min="11765" max="11765" width="8.140625" style="10" customWidth="1"/>
    <col min="11766" max="11766" width="7.140625" style="10" customWidth="1"/>
    <col min="11767" max="11767" width="7.7109375" style="10" bestFit="1" customWidth="1"/>
    <col min="11768" max="11768" width="7.28515625" style="10" customWidth="1"/>
    <col min="11769" max="11769" width="7" style="10" customWidth="1"/>
    <col min="11770" max="11770" width="7.5703125" style="10" customWidth="1"/>
    <col min="11771" max="11771" width="7.140625" style="10" customWidth="1"/>
    <col min="11772" max="11772" width="7" style="10" customWidth="1"/>
    <col min="11773" max="11773" width="7.5703125" style="10" customWidth="1"/>
    <col min="11774" max="11774" width="7.140625" style="10" customWidth="1"/>
    <col min="11775" max="11791" width="8.7109375" style="10" customWidth="1"/>
    <col min="11792" max="11792" width="36.85546875" style="10" customWidth="1"/>
    <col min="11793" max="11799" width="14.28515625" style="10" customWidth="1"/>
    <col min="11800" max="12014" width="9.140625" style="10"/>
    <col min="12015" max="12015" width="38.5703125" style="10" customWidth="1"/>
    <col min="12016" max="12016" width="6.5703125" style="10" customWidth="1"/>
    <col min="12017" max="12017" width="7.7109375" style="10" bestFit="1" customWidth="1"/>
    <col min="12018" max="12018" width="7.28515625" style="10" customWidth="1"/>
    <col min="12019" max="12019" width="6.5703125" style="10" bestFit="1" customWidth="1"/>
    <col min="12020" max="12020" width="7.28515625" style="10" bestFit="1" customWidth="1"/>
    <col min="12021" max="12021" width="8.140625" style="10" customWidth="1"/>
    <col min="12022" max="12022" width="7.140625" style="10" customWidth="1"/>
    <col min="12023" max="12023" width="7.7109375" style="10" bestFit="1" customWidth="1"/>
    <col min="12024" max="12024" width="7.28515625" style="10" customWidth="1"/>
    <col min="12025" max="12025" width="7" style="10" customWidth="1"/>
    <col min="12026" max="12026" width="7.5703125" style="10" customWidth="1"/>
    <col min="12027" max="12027" width="7.140625" style="10" customWidth="1"/>
    <col min="12028" max="12028" width="7" style="10" customWidth="1"/>
    <col min="12029" max="12029" width="7.5703125" style="10" customWidth="1"/>
    <col min="12030" max="12030" width="7.140625" style="10" customWidth="1"/>
    <col min="12031" max="12047" width="8.7109375" style="10" customWidth="1"/>
    <col min="12048" max="12048" width="36.85546875" style="10" customWidth="1"/>
    <col min="12049" max="12055" width="14.28515625" style="10" customWidth="1"/>
    <col min="12056" max="12270" width="9.140625" style="10"/>
    <col min="12271" max="12271" width="38.5703125" style="10" customWidth="1"/>
    <col min="12272" max="12272" width="6.5703125" style="10" customWidth="1"/>
    <col min="12273" max="12273" width="7.7109375" style="10" bestFit="1" customWidth="1"/>
    <col min="12274" max="12274" width="7.28515625" style="10" customWidth="1"/>
    <col min="12275" max="12275" width="6.5703125" style="10" bestFit="1" customWidth="1"/>
    <col min="12276" max="12276" width="7.28515625" style="10" bestFit="1" customWidth="1"/>
    <col min="12277" max="12277" width="8.140625" style="10" customWidth="1"/>
    <col min="12278" max="12278" width="7.140625" style="10" customWidth="1"/>
    <col min="12279" max="12279" width="7.7109375" style="10" bestFit="1" customWidth="1"/>
    <col min="12280" max="12280" width="7.28515625" style="10" customWidth="1"/>
    <col min="12281" max="12281" width="7" style="10" customWidth="1"/>
    <col min="12282" max="12282" width="7.5703125" style="10" customWidth="1"/>
    <col min="12283" max="12283" width="7.140625" style="10" customWidth="1"/>
    <col min="12284" max="12284" width="7" style="10" customWidth="1"/>
    <col min="12285" max="12285" width="7.5703125" style="10" customWidth="1"/>
    <col min="12286" max="12286" width="7.140625" style="10" customWidth="1"/>
    <col min="12287" max="12303" width="8.7109375" style="10" customWidth="1"/>
    <col min="12304" max="12304" width="36.85546875" style="10" customWidth="1"/>
    <col min="12305" max="12311" width="14.28515625" style="10" customWidth="1"/>
    <col min="12312" max="12526" width="9.140625" style="10"/>
    <col min="12527" max="12527" width="38.5703125" style="10" customWidth="1"/>
    <col min="12528" max="12528" width="6.5703125" style="10" customWidth="1"/>
    <col min="12529" max="12529" width="7.7109375" style="10" bestFit="1" customWidth="1"/>
    <col min="12530" max="12530" width="7.28515625" style="10" customWidth="1"/>
    <col min="12531" max="12531" width="6.5703125" style="10" bestFit="1" customWidth="1"/>
    <col min="12532" max="12532" width="7.28515625" style="10" bestFit="1" customWidth="1"/>
    <col min="12533" max="12533" width="8.140625" style="10" customWidth="1"/>
    <col min="12534" max="12534" width="7.140625" style="10" customWidth="1"/>
    <col min="12535" max="12535" width="7.7109375" style="10" bestFit="1" customWidth="1"/>
    <col min="12536" max="12536" width="7.28515625" style="10" customWidth="1"/>
    <col min="12537" max="12537" width="7" style="10" customWidth="1"/>
    <col min="12538" max="12538" width="7.5703125" style="10" customWidth="1"/>
    <col min="12539" max="12539" width="7.140625" style="10" customWidth="1"/>
    <col min="12540" max="12540" width="7" style="10" customWidth="1"/>
    <col min="12541" max="12541" width="7.5703125" style="10" customWidth="1"/>
    <col min="12542" max="12542" width="7.140625" style="10" customWidth="1"/>
    <col min="12543" max="12559" width="8.7109375" style="10" customWidth="1"/>
    <col min="12560" max="12560" width="36.85546875" style="10" customWidth="1"/>
    <col min="12561" max="12567" width="14.28515625" style="10" customWidth="1"/>
    <col min="12568" max="12782" width="9.140625" style="10"/>
    <col min="12783" max="12783" width="38.5703125" style="10" customWidth="1"/>
    <col min="12784" max="12784" width="6.5703125" style="10" customWidth="1"/>
    <col min="12785" max="12785" width="7.7109375" style="10" bestFit="1" customWidth="1"/>
    <col min="12786" max="12786" width="7.28515625" style="10" customWidth="1"/>
    <col min="12787" max="12787" width="6.5703125" style="10" bestFit="1" customWidth="1"/>
    <col min="12788" max="12788" width="7.28515625" style="10" bestFit="1" customWidth="1"/>
    <col min="12789" max="12789" width="8.140625" style="10" customWidth="1"/>
    <col min="12790" max="12790" width="7.140625" style="10" customWidth="1"/>
    <col min="12791" max="12791" width="7.7109375" style="10" bestFit="1" customWidth="1"/>
    <col min="12792" max="12792" width="7.28515625" style="10" customWidth="1"/>
    <col min="12793" max="12793" width="7" style="10" customWidth="1"/>
    <col min="12794" max="12794" width="7.5703125" style="10" customWidth="1"/>
    <col min="12795" max="12795" width="7.140625" style="10" customWidth="1"/>
    <col min="12796" max="12796" width="7" style="10" customWidth="1"/>
    <col min="12797" max="12797" width="7.5703125" style="10" customWidth="1"/>
    <col min="12798" max="12798" width="7.140625" style="10" customWidth="1"/>
    <col min="12799" max="12815" width="8.7109375" style="10" customWidth="1"/>
    <col min="12816" max="12816" width="36.85546875" style="10" customWidth="1"/>
    <col min="12817" max="12823" width="14.28515625" style="10" customWidth="1"/>
    <col min="12824" max="13038" width="9.140625" style="10"/>
    <col min="13039" max="13039" width="38.5703125" style="10" customWidth="1"/>
    <col min="13040" max="13040" width="6.5703125" style="10" customWidth="1"/>
    <col min="13041" max="13041" width="7.7109375" style="10" bestFit="1" customWidth="1"/>
    <col min="13042" max="13042" width="7.28515625" style="10" customWidth="1"/>
    <col min="13043" max="13043" width="6.5703125" style="10" bestFit="1" customWidth="1"/>
    <col min="13044" max="13044" width="7.28515625" style="10" bestFit="1" customWidth="1"/>
    <col min="13045" max="13045" width="8.140625" style="10" customWidth="1"/>
    <col min="13046" max="13046" width="7.140625" style="10" customWidth="1"/>
    <col min="13047" max="13047" width="7.7109375" style="10" bestFit="1" customWidth="1"/>
    <col min="13048" max="13048" width="7.28515625" style="10" customWidth="1"/>
    <col min="13049" max="13049" width="7" style="10" customWidth="1"/>
    <col min="13050" max="13050" width="7.5703125" style="10" customWidth="1"/>
    <col min="13051" max="13051" width="7.140625" style="10" customWidth="1"/>
    <col min="13052" max="13052" width="7" style="10" customWidth="1"/>
    <col min="13053" max="13053" width="7.5703125" style="10" customWidth="1"/>
    <col min="13054" max="13054" width="7.140625" style="10" customWidth="1"/>
    <col min="13055" max="13071" width="8.7109375" style="10" customWidth="1"/>
    <col min="13072" max="13072" width="36.85546875" style="10" customWidth="1"/>
    <col min="13073" max="13079" width="14.28515625" style="10" customWidth="1"/>
    <col min="13080" max="13294" width="9.140625" style="10"/>
    <col min="13295" max="13295" width="38.5703125" style="10" customWidth="1"/>
    <col min="13296" max="13296" width="6.5703125" style="10" customWidth="1"/>
    <col min="13297" max="13297" width="7.7109375" style="10" bestFit="1" customWidth="1"/>
    <col min="13298" max="13298" width="7.28515625" style="10" customWidth="1"/>
    <col min="13299" max="13299" width="6.5703125" style="10" bestFit="1" customWidth="1"/>
    <col min="13300" max="13300" width="7.28515625" style="10" bestFit="1" customWidth="1"/>
    <col min="13301" max="13301" width="8.140625" style="10" customWidth="1"/>
    <col min="13302" max="13302" width="7.140625" style="10" customWidth="1"/>
    <col min="13303" max="13303" width="7.7109375" style="10" bestFit="1" customWidth="1"/>
    <col min="13304" max="13304" width="7.28515625" style="10" customWidth="1"/>
    <col min="13305" max="13305" width="7" style="10" customWidth="1"/>
    <col min="13306" max="13306" width="7.5703125" style="10" customWidth="1"/>
    <col min="13307" max="13307" width="7.140625" style="10" customWidth="1"/>
    <col min="13308" max="13308" width="7" style="10" customWidth="1"/>
    <col min="13309" max="13309" width="7.5703125" style="10" customWidth="1"/>
    <col min="13310" max="13310" width="7.140625" style="10" customWidth="1"/>
    <col min="13311" max="13327" width="8.7109375" style="10" customWidth="1"/>
    <col min="13328" max="13328" width="36.85546875" style="10" customWidth="1"/>
    <col min="13329" max="13335" width="14.28515625" style="10" customWidth="1"/>
    <col min="13336" max="13550" width="9.140625" style="10"/>
    <col min="13551" max="13551" width="38.5703125" style="10" customWidth="1"/>
    <col min="13552" max="13552" width="6.5703125" style="10" customWidth="1"/>
    <col min="13553" max="13553" width="7.7109375" style="10" bestFit="1" customWidth="1"/>
    <col min="13554" max="13554" width="7.28515625" style="10" customWidth="1"/>
    <col min="13555" max="13555" width="6.5703125" style="10" bestFit="1" customWidth="1"/>
    <col min="13556" max="13556" width="7.28515625" style="10" bestFit="1" customWidth="1"/>
    <col min="13557" max="13557" width="8.140625" style="10" customWidth="1"/>
    <col min="13558" max="13558" width="7.140625" style="10" customWidth="1"/>
    <col min="13559" max="13559" width="7.7109375" style="10" bestFit="1" customWidth="1"/>
    <col min="13560" max="13560" width="7.28515625" style="10" customWidth="1"/>
    <col min="13561" max="13561" width="7" style="10" customWidth="1"/>
    <col min="13562" max="13562" width="7.5703125" style="10" customWidth="1"/>
    <col min="13563" max="13563" width="7.140625" style="10" customWidth="1"/>
    <col min="13564" max="13564" width="7" style="10" customWidth="1"/>
    <col min="13565" max="13565" width="7.5703125" style="10" customWidth="1"/>
    <col min="13566" max="13566" width="7.140625" style="10" customWidth="1"/>
    <col min="13567" max="13583" width="8.7109375" style="10" customWidth="1"/>
    <col min="13584" max="13584" width="36.85546875" style="10" customWidth="1"/>
    <col min="13585" max="13591" width="14.28515625" style="10" customWidth="1"/>
    <col min="13592" max="13806" width="9.140625" style="10"/>
    <col min="13807" max="13807" width="38.5703125" style="10" customWidth="1"/>
    <col min="13808" max="13808" width="6.5703125" style="10" customWidth="1"/>
    <col min="13809" max="13809" width="7.7109375" style="10" bestFit="1" customWidth="1"/>
    <col min="13810" max="13810" width="7.28515625" style="10" customWidth="1"/>
    <col min="13811" max="13811" width="6.5703125" style="10" bestFit="1" customWidth="1"/>
    <col min="13812" max="13812" width="7.28515625" style="10" bestFit="1" customWidth="1"/>
    <col min="13813" max="13813" width="8.140625" style="10" customWidth="1"/>
    <col min="13814" max="13814" width="7.140625" style="10" customWidth="1"/>
    <col min="13815" max="13815" width="7.7109375" style="10" bestFit="1" customWidth="1"/>
    <col min="13816" max="13816" width="7.28515625" style="10" customWidth="1"/>
    <col min="13817" max="13817" width="7" style="10" customWidth="1"/>
    <col min="13818" max="13818" width="7.5703125" style="10" customWidth="1"/>
    <col min="13819" max="13819" width="7.140625" style="10" customWidth="1"/>
    <col min="13820" max="13820" width="7" style="10" customWidth="1"/>
    <col min="13821" max="13821" width="7.5703125" style="10" customWidth="1"/>
    <col min="13822" max="13822" width="7.140625" style="10" customWidth="1"/>
    <col min="13823" max="13839" width="8.7109375" style="10" customWidth="1"/>
    <col min="13840" max="13840" width="36.85546875" style="10" customWidth="1"/>
    <col min="13841" max="13847" width="14.28515625" style="10" customWidth="1"/>
    <col min="13848" max="14062" width="9.140625" style="10"/>
    <col min="14063" max="14063" width="38.5703125" style="10" customWidth="1"/>
    <col min="14064" max="14064" width="6.5703125" style="10" customWidth="1"/>
    <col min="14065" max="14065" width="7.7109375" style="10" bestFit="1" customWidth="1"/>
    <col min="14066" max="14066" width="7.28515625" style="10" customWidth="1"/>
    <col min="14067" max="14067" width="6.5703125" style="10" bestFit="1" customWidth="1"/>
    <col min="14068" max="14068" width="7.28515625" style="10" bestFit="1" customWidth="1"/>
    <col min="14069" max="14069" width="8.140625" style="10" customWidth="1"/>
    <col min="14070" max="14070" width="7.140625" style="10" customWidth="1"/>
    <col min="14071" max="14071" width="7.7109375" style="10" bestFit="1" customWidth="1"/>
    <col min="14072" max="14072" width="7.28515625" style="10" customWidth="1"/>
    <col min="14073" max="14073" width="7" style="10" customWidth="1"/>
    <col min="14074" max="14074" width="7.5703125" style="10" customWidth="1"/>
    <col min="14075" max="14075" width="7.140625" style="10" customWidth="1"/>
    <col min="14076" max="14076" width="7" style="10" customWidth="1"/>
    <col min="14077" max="14077" width="7.5703125" style="10" customWidth="1"/>
    <col min="14078" max="14078" width="7.140625" style="10" customWidth="1"/>
    <col min="14079" max="14095" width="8.7109375" style="10" customWidth="1"/>
    <col min="14096" max="14096" width="36.85546875" style="10" customWidth="1"/>
    <col min="14097" max="14103" width="14.28515625" style="10" customWidth="1"/>
    <col min="14104" max="14318" width="9.140625" style="10"/>
    <col min="14319" max="14319" width="38.5703125" style="10" customWidth="1"/>
    <col min="14320" max="14320" width="6.5703125" style="10" customWidth="1"/>
    <col min="14321" max="14321" width="7.7109375" style="10" bestFit="1" customWidth="1"/>
    <col min="14322" max="14322" width="7.28515625" style="10" customWidth="1"/>
    <col min="14323" max="14323" width="6.5703125" style="10" bestFit="1" customWidth="1"/>
    <col min="14324" max="14324" width="7.28515625" style="10" bestFit="1" customWidth="1"/>
    <col min="14325" max="14325" width="8.140625" style="10" customWidth="1"/>
    <col min="14326" max="14326" width="7.140625" style="10" customWidth="1"/>
    <col min="14327" max="14327" width="7.7109375" style="10" bestFit="1" customWidth="1"/>
    <col min="14328" max="14328" width="7.28515625" style="10" customWidth="1"/>
    <col min="14329" max="14329" width="7" style="10" customWidth="1"/>
    <col min="14330" max="14330" width="7.5703125" style="10" customWidth="1"/>
    <col min="14331" max="14331" width="7.140625" style="10" customWidth="1"/>
    <col min="14332" max="14332" width="7" style="10" customWidth="1"/>
    <col min="14333" max="14333" width="7.5703125" style="10" customWidth="1"/>
    <col min="14334" max="14334" width="7.140625" style="10" customWidth="1"/>
    <col min="14335" max="14351" width="8.7109375" style="10" customWidth="1"/>
    <col min="14352" max="14352" width="36.85546875" style="10" customWidth="1"/>
    <col min="14353" max="14359" width="14.28515625" style="10" customWidth="1"/>
    <col min="14360" max="14574" width="9.140625" style="10"/>
    <col min="14575" max="14575" width="38.5703125" style="10" customWidth="1"/>
    <col min="14576" max="14576" width="6.5703125" style="10" customWidth="1"/>
    <col min="14577" max="14577" width="7.7109375" style="10" bestFit="1" customWidth="1"/>
    <col min="14578" max="14578" width="7.28515625" style="10" customWidth="1"/>
    <col min="14579" max="14579" width="6.5703125" style="10" bestFit="1" customWidth="1"/>
    <col min="14580" max="14580" width="7.28515625" style="10" bestFit="1" customWidth="1"/>
    <col min="14581" max="14581" width="8.140625" style="10" customWidth="1"/>
    <col min="14582" max="14582" width="7.140625" style="10" customWidth="1"/>
    <col min="14583" max="14583" width="7.7109375" style="10" bestFit="1" customWidth="1"/>
    <col min="14584" max="14584" width="7.28515625" style="10" customWidth="1"/>
    <col min="14585" max="14585" width="7" style="10" customWidth="1"/>
    <col min="14586" max="14586" width="7.5703125" style="10" customWidth="1"/>
    <col min="14587" max="14587" width="7.140625" style="10" customWidth="1"/>
    <col min="14588" max="14588" width="7" style="10" customWidth="1"/>
    <col min="14589" max="14589" width="7.5703125" style="10" customWidth="1"/>
    <col min="14590" max="14590" width="7.140625" style="10" customWidth="1"/>
    <col min="14591" max="14607" width="8.7109375" style="10" customWidth="1"/>
    <col min="14608" max="14608" width="36.85546875" style="10" customWidth="1"/>
    <col min="14609" max="14615" width="14.28515625" style="10" customWidth="1"/>
    <col min="14616" max="14830" width="9.140625" style="10"/>
    <col min="14831" max="14831" width="38.5703125" style="10" customWidth="1"/>
    <col min="14832" max="14832" width="6.5703125" style="10" customWidth="1"/>
    <col min="14833" max="14833" width="7.7109375" style="10" bestFit="1" customWidth="1"/>
    <col min="14834" max="14834" width="7.28515625" style="10" customWidth="1"/>
    <col min="14835" max="14835" width="6.5703125" style="10" bestFit="1" customWidth="1"/>
    <col min="14836" max="14836" width="7.28515625" style="10" bestFit="1" customWidth="1"/>
    <col min="14837" max="14837" width="8.140625" style="10" customWidth="1"/>
    <col min="14838" max="14838" width="7.140625" style="10" customWidth="1"/>
    <col min="14839" max="14839" width="7.7109375" style="10" bestFit="1" customWidth="1"/>
    <col min="14840" max="14840" width="7.28515625" style="10" customWidth="1"/>
    <col min="14841" max="14841" width="7" style="10" customWidth="1"/>
    <col min="14842" max="14842" width="7.5703125" style="10" customWidth="1"/>
    <col min="14843" max="14843" width="7.140625" style="10" customWidth="1"/>
    <col min="14844" max="14844" width="7" style="10" customWidth="1"/>
    <col min="14845" max="14845" width="7.5703125" style="10" customWidth="1"/>
    <col min="14846" max="14846" width="7.140625" style="10" customWidth="1"/>
    <col min="14847" max="14863" width="8.7109375" style="10" customWidth="1"/>
    <col min="14864" max="14864" width="36.85546875" style="10" customWidth="1"/>
    <col min="14865" max="14871" width="14.28515625" style="10" customWidth="1"/>
    <col min="14872" max="15086" width="9.140625" style="10"/>
    <col min="15087" max="15087" width="38.5703125" style="10" customWidth="1"/>
    <col min="15088" max="15088" width="6.5703125" style="10" customWidth="1"/>
    <col min="15089" max="15089" width="7.7109375" style="10" bestFit="1" customWidth="1"/>
    <col min="15090" max="15090" width="7.28515625" style="10" customWidth="1"/>
    <col min="15091" max="15091" width="6.5703125" style="10" bestFit="1" customWidth="1"/>
    <col min="15092" max="15092" width="7.28515625" style="10" bestFit="1" customWidth="1"/>
    <col min="15093" max="15093" width="8.140625" style="10" customWidth="1"/>
    <col min="15094" max="15094" width="7.140625" style="10" customWidth="1"/>
    <col min="15095" max="15095" width="7.7109375" style="10" bestFit="1" customWidth="1"/>
    <col min="15096" max="15096" width="7.28515625" style="10" customWidth="1"/>
    <col min="15097" max="15097" width="7" style="10" customWidth="1"/>
    <col min="15098" max="15098" width="7.5703125" style="10" customWidth="1"/>
    <col min="15099" max="15099" width="7.140625" style="10" customWidth="1"/>
    <col min="15100" max="15100" width="7" style="10" customWidth="1"/>
    <col min="15101" max="15101" width="7.5703125" style="10" customWidth="1"/>
    <col min="15102" max="15102" width="7.140625" style="10" customWidth="1"/>
    <col min="15103" max="15119" width="8.7109375" style="10" customWidth="1"/>
    <col min="15120" max="15120" width="36.85546875" style="10" customWidth="1"/>
    <col min="15121" max="15127" width="14.28515625" style="10" customWidth="1"/>
    <col min="15128" max="15342" width="9.140625" style="10"/>
    <col min="15343" max="15343" width="38.5703125" style="10" customWidth="1"/>
    <col min="15344" max="15344" width="6.5703125" style="10" customWidth="1"/>
    <col min="15345" max="15345" width="7.7109375" style="10" bestFit="1" customWidth="1"/>
    <col min="15346" max="15346" width="7.28515625" style="10" customWidth="1"/>
    <col min="15347" max="15347" width="6.5703125" style="10" bestFit="1" customWidth="1"/>
    <col min="15348" max="15348" width="7.28515625" style="10" bestFit="1" customWidth="1"/>
    <col min="15349" max="15349" width="8.140625" style="10" customWidth="1"/>
    <col min="15350" max="15350" width="7.140625" style="10" customWidth="1"/>
    <col min="15351" max="15351" width="7.7109375" style="10" bestFit="1" customWidth="1"/>
    <col min="15352" max="15352" width="7.28515625" style="10" customWidth="1"/>
    <col min="15353" max="15353" width="7" style="10" customWidth="1"/>
    <col min="15354" max="15354" width="7.5703125" style="10" customWidth="1"/>
    <col min="15355" max="15355" width="7.140625" style="10" customWidth="1"/>
    <col min="15356" max="15356" width="7" style="10" customWidth="1"/>
    <col min="15357" max="15357" width="7.5703125" style="10" customWidth="1"/>
    <col min="15358" max="15358" width="7.140625" style="10" customWidth="1"/>
    <col min="15359" max="15375" width="8.7109375" style="10" customWidth="1"/>
    <col min="15376" max="15376" width="36.85546875" style="10" customWidth="1"/>
    <col min="15377" max="15383" width="14.28515625" style="10" customWidth="1"/>
    <col min="15384" max="15598" width="9.140625" style="10"/>
    <col min="15599" max="15599" width="38.5703125" style="10" customWidth="1"/>
    <col min="15600" max="15600" width="6.5703125" style="10" customWidth="1"/>
    <col min="15601" max="15601" width="7.7109375" style="10" bestFit="1" customWidth="1"/>
    <col min="15602" max="15602" width="7.28515625" style="10" customWidth="1"/>
    <col min="15603" max="15603" width="6.5703125" style="10" bestFit="1" customWidth="1"/>
    <col min="15604" max="15604" width="7.28515625" style="10" bestFit="1" customWidth="1"/>
    <col min="15605" max="15605" width="8.140625" style="10" customWidth="1"/>
    <col min="15606" max="15606" width="7.140625" style="10" customWidth="1"/>
    <col min="15607" max="15607" width="7.7109375" style="10" bestFit="1" customWidth="1"/>
    <col min="15608" max="15608" width="7.28515625" style="10" customWidth="1"/>
    <col min="15609" max="15609" width="7" style="10" customWidth="1"/>
    <col min="15610" max="15610" width="7.5703125" style="10" customWidth="1"/>
    <col min="15611" max="15611" width="7.140625" style="10" customWidth="1"/>
    <col min="15612" max="15612" width="7" style="10" customWidth="1"/>
    <col min="15613" max="15613" width="7.5703125" style="10" customWidth="1"/>
    <col min="15614" max="15614" width="7.140625" style="10" customWidth="1"/>
    <col min="15615" max="15631" width="8.7109375" style="10" customWidth="1"/>
    <col min="15632" max="15632" width="36.85546875" style="10" customWidth="1"/>
    <col min="15633" max="15639" width="14.28515625" style="10" customWidth="1"/>
    <col min="15640" max="15854" width="9.140625" style="10"/>
    <col min="15855" max="15855" width="38.5703125" style="10" customWidth="1"/>
    <col min="15856" max="15856" width="6.5703125" style="10" customWidth="1"/>
    <col min="15857" max="15857" width="7.7109375" style="10" bestFit="1" customWidth="1"/>
    <col min="15858" max="15858" width="7.28515625" style="10" customWidth="1"/>
    <col min="15859" max="15859" width="6.5703125" style="10" bestFit="1" customWidth="1"/>
    <col min="15860" max="15860" width="7.28515625" style="10" bestFit="1" customWidth="1"/>
    <col min="15861" max="15861" width="8.140625" style="10" customWidth="1"/>
    <col min="15862" max="15862" width="7.140625" style="10" customWidth="1"/>
    <col min="15863" max="15863" width="7.7109375" style="10" bestFit="1" customWidth="1"/>
    <col min="15864" max="15864" width="7.28515625" style="10" customWidth="1"/>
    <col min="15865" max="15865" width="7" style="10" customWidth="1"/>
    <col min="15866" max="15866" width="7.5703125" style="10" customWidth="1"/>
    <col min="15867" max="15867" width="7.140625" style="10" customWidth="1"/>
    <col min="15868" max="15868" width="7" style="10" customWidth="1"/>
    <col min="15869" max="15869" width="7.5703125" style="10" customWidth="1"/>
    <col min="15870" max="15870" width="7.140625" style="10" customWidth="1"/>
    <col min="15871" max="15887" width="8.7109375" style="10" customWidth="1"/>
    <col min="15888" max="15888" width="36.85546875" style="10" customWidth="1"/>
    <col min="15889" max="15895" width="14.28515625" style="10" customWidth="1"/>
    <col min="15896" max="16110" width="9.140625" style="10"/>
    <col min="16111" max="16111" width="38.5703125" style="10" customWidth="1"/>
    <col min="16112" max="16112" width="6.5703125" style="10" customWidth="1"/>
    <col min="16113" max="16113" width="7.7109375" style="10" bestFit="1" customWidth="1"/>
    <col min="16114" max="16114" width="7.28515625" style="10" customWidth="1"/>
    <col min="16115" max="16115" width="6.5703125" style="10" bestFit="1" customWidth="1"/>
    <col min="16116" max="16116" width="7.28515625" style="10" bestFit="1" customWidth="1"/>
    <col min="16117" max="16117" width="8.140625" style="10" customWidth="1"/>
    <col min="16118" max="16118" width="7.140625" style="10" customWidth="1"/>
    <col min="16119" max="16119" width="7.7109375" style="10" bestFit="1" customWidth="1"/>
    <col min="16120" max="16120" width="7.28515625" style="10" customWidth="1"/>
    <col min="16121" max="16121" width="7" style="10" customWidth="1"/>
    <col min="16122" max="16122" width="7.5703125" style="10" customWidth="1"/>
    <col min="16123" max="16123" width="7.140625" style="10" customWidth="1"/>
    <col min="16124" max="16124" width="7" style="10" customWidth="1"/>
    <col min="16125" max="16125" width="7.5703125" style="10" customWidth="1"/>
    <col min="16126" max="16126" width="7.140625" style="10" customWidth="1"/>
    <col min="16127" max="16143" width="8.7109375" style="10" customWidth="1"/>
    <col min="16144" max="16144" width="36.85546875" style="10" customWidth="1"/>
    <col min="16145" max="16151" width="14.28515625" style="10" customWidth="1"/>
    <col min="16152" max="16384" width="9.140625" style="10"/>
  </cols>
  <sheetData>
    <row r="1" spans="1:17" ht="18.75" customHeight="1">
      <c r="N1" s="1530" t="s">
        <v>876</v>
      </c>
      <c r="O1" s="1531"/>
    </row>
    <row r="2" spans="1:17" ht="39.950000000000003" customHeight="1">
      <c r="A2" s="1406" t="s">
        <v>1102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</row>
    <row r="3" spans="1:17" ht="3.75" customHeight="1">
      <c r="B3" s="1407"/>
      <c r="C3" s="1407"/>
      <c r="D3" s="1407"/>
      <c r="E3" s="1407"/>
      <c r="F3" s="1407"/>
      <c r="G3" s="1407"/>
      <c r="H3" s="1407"/>
      <c r="I3" s="10"/>
      <c r="J3" s="10"/>
      <c r="K3" s="10"/>
      <c r="L3" s="10"/>
      <c r="M3" s="10"/>
      <c r="N3" s="10"/>
      <c r="O3" s="10"/>
    </row>
    <row r="4" spans="1:17" s="188" customFormat="1" ht="27.75" customHeight="1">
      <c r="A4" s="183" t="s">
        <v>1298</v>
      </c>
      <c r="B4" s="184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7">
      <c r="B5" s="228"/>
      <c r="C5" s="20"/>
      <c r="D5" s="20"/>
      <c r="E5" s="20"/>
      <c r="F5" s="20"/>
      <c r="G5" s="20"/>
      <c r="H5" s="20"/>
      <c r="I5" s="10"/>
      <c r="J5" s="10"/>
      <c r="K5" s="10"/>
      <c r="L5" s="10"/>
      <c r="M5" s="10"/>
      <c r="N5" s="10"/>
      <c r="O5" s="10"/>
    </row>
    <row r="6" spans="1:17" s="23" customFormat="1" ht="20.100000000000001" customHeight="1">
      <c r="A6" s="1517" t="s">
        <v>878</v>
      </c>
      <c r="B6" s="1517"/>
      <c r="C6" s="1497" t="s">
        <v>1103</v>
      </c>
      <c r="D6" s="1498"/>
      <c r="E6" s="1498"/>
      <c r="F6" s="1498"/>
      <c r="G6" s="1498"/>
      <c r="H6" s="1498"/>
      <c r="I6" s="1499"/>
      <c r="J6" s="1499"/>
      <c r="K6" s="1499"/>
      <c r="L6" s="1499"/>
      <c r="M6" s="1499"/>
      <c r="N6" s="1499"/>
      <c r="O6" s="1500"/>
    </row>
    <row r="7" spans="1:17" s="23" customFormat="1" ht="20.100000000000001" customHeight="1">
      <c r="A7" s="1517"/>
      <c r="B7" s="1517"/>
      <c r="C7" s="1501" t="s">
        <v>154</v>
      </c>
      <c r="D7" s="1502" t="s">
        <v>155</v>
      </c>
      <c r="E7" s="1503"/>
      <c r="F7" s="1504" t="s">
        <v>156</v>
      </c>
      <c r="G7" s="1505"/>
      <c r="H7" s="1506"/>
      <c r="I7" s="1507" t="s">
        <v>157</v>
      </c>
      <c r="J7" s="1508"/>
      <c r="K7" s="1509"/>
      <c r="L7" s="1501" t="s">
        <v>136</v>
      </c>
      <c r="M7" s="1502"/>
      <c r="N7" s="1503"/>
      <c r="O7" s="1510" t="s">
        <v>138</v>
      </c>
    </row>
    <row r="8" spans="1:17" s="23" customFormat="1" ht="39.950000000000003" customHeight="1">
      <c r="A8" s="1517"/>
      <c r="B8" s="1517"/>
      <c r="C8" s="229" t="s">
        <v>140</v>
      </c>
      <c r="D8" s="230" t="s">
        <v>141</v>
      </c>
      <c r="E8" s="24" t="s">
        <v>138</v>
      </c>
      <c r="F8" s="229" t="s">
        <v>140</v>
      </c>
      <c r="G8" s="230" t="s">
        <v>141</v>
      </c>
      <c r="H8" s="24" t="s">
        <v>138</v>
      </c>
      <c r="I8" s="229" t="s">
        <v>140</v>
      </c>
      <c r="J8" s="230" t="s">
        <v>141</v>
      </c>
      <c r="K8" s="24" t="s">
        <v>138</v>
      </c>
      <c r="L8" s="229" t="s">
        <v>140</v>
      </c>
      <c r="M8" s="230" t="s">
        <v>141</v>
      </c>
      <c r="N8" s="24" t="s">
        <v>138</v>
      </c>
      <c r="O8" s="1511"/>
    </row>
    <row r="9" spans="1:17" ht="15" customHeight="1">
      <c r="A9" s="1518" t="s">
        <v>142</v>
      </c>
      <c r="B9" s="1518"/>
      <c r="C9" s="1519"/>
      <c r="D9" s="1520"/>
      <c r="E9" s="1521"/>
      <c r="F9" s="1522"/>
      <c r="G9" s="1523"/>
      <c r="H9" s="1524"/>
      <c r="I9" s="1519"/>
      <c r="J9" s="1525"/>
      <c r="K9" s="1526"/>
      <c r="L9" s="1519"/>
      <c r="M9" s="1525"/>
      <c r="N9" s="1526"/>
      <c r="O9" s="248"/>
    </row>
    <row r="10" spans="1:17" s="8" customFormat="1" ht="18.95" customHeight="1">
      <c r="A10" s="239">
        <v>1</v>
      </c>
      <c r="B10" s="790" t="s">
        <v>344</v>
      </c>
      <c r="C10" s="25">
        <f>6+8+13</f>
        <v>27</v>
      </c>
      <c r="D10" s="25">
        <v>4</v>
      </c>
      <c r="E10" s="234">
        <f>C10+D10</f>
        <v>31</v>
      </c>
      <c r="F10" s="25">
        <v>9</v>
      </c>
      <c r="G10" s="25">
        <v>2</v>
      </c>
      <c r="H10" s="234">
        <f>F10+G10</f>
        <v>11</v>
      </c>
      <c r="I10" s="25">
        <v>18</v>
      </c>
      <c r="J10" s="25">
        <v>11</v>
      </c>
      <c r="K10" s="234">
        <f>I10+J10</f>
        <v>29</v>
      </c>
      <c r="L10" s="25">
        <v>6</v>
      </c>
      <c r="M10" s="25">
        <v>4</v>
      </c>
      <c r="N10" s="234">
        <f>L10+M10</f>
        <v>10</v>
      </c>
      <c r="O10" s="26">
        <f>+E10+H10+K10+N10</f>
        <v>81</v>
      </c>
      <c r="Q10" s="830">
        <f>+E10+H10</f>
        <v>42</v>
      </c>
    </row>
    <row r="11" spans="1:17" s="8" customFormat="1" ht="18.95" customHeight="1">
      <c r="A11" s="240">
        <v>2</v>
      </c>
      <c r="B11" s="520" t="s">
        <v>1137</v>
      </c>
      <c r="C11" s="236">
        <v>43</v>
      </c>
      <c r="D11" s="236">
        <v>73</v>
      </c>
      <c r="E11" s="237">
        <f>C11+D11</f>
        <v>116</v>
      </c>
      <c r="F11" s="236"/>
      <c r="G11" s="236"/>
      <c r="H11" s="237">
        <f>F11+G11</f>
        <v>0</v>
      </c>
      <c r="I11" s="236"/>
      <c r="J11" s="236"/>
      <c r="K11" s="237">
        <f>I11+J11</f>
        <v>0</v>
      </c>
      <c r="L11" s="236"/>
      <c r="M11" s="236"/>
      <c r="N11" s="237">
        <f>L11+M11</f>
        <v>0</v>
      </c>
      <c r="O11" s="26">
        <f t="shared" ref="O11:O15" si="0">+E11+H11+K11+N11</f>
        <v>116</v>
      </c>
      <c r="Q11" s="830">
        <f t="shared" ref="Q11:Q73" si="1">+E11+H11</f>
        <v>116</v>
      </c>
    </row>
    <row r="12" spans="1:17" s="8" customFormat="1" ht="18.95" customHeight="1">
      <c r="A12" s="240">
        <v>3</v>
      </c>
      <c r="B12" s="790" t="s">
        <v>479</v>
      </c>
      <c r="C12" s="236">
        <v>19</v>
      </c>
      <c r="D12" s="236">
        <v>31</v>
      </c>
      <c r="E12" s="237">
        <f t="shared" ref="E12:E14" si="2">C12+D12</f>
        <v>50</v>
      </c>
      <c r="F12" s="236">
        <v>28</v>
      </c>
      <c r="G12" s="236">
        <v>62</v>
      </c>
      <c r="H12" s="237">
        <f t="shared" ref="H12:H14" si="3">F12+G12</f>
        <v>90</v>
      </c>
      <c r="I12" s="236">
        <v>11</v>
      </c>
      <c r="J12" s="236">
        <v>9</v>
      </c>
      <c r="K12" s="237">
        <f t="shared" ref="K12:K14" si="4">I12+J12</f>
        <v>20</v>
      </c>
      <c r="L12" s="236">
        <v>7</v>
      </c>
      <c r="M12" s="236">
        <v>3</v>
      </c>
      <c r="N12" s="237">
        <f t="shared" ref="N12:N14" si="5">L12+M12</f>
        <v>10</v>
      </c>
      <c r="O12" s="26">
        <f t="shared" si="0"/>
        <v>170</v>
      </c>
      <c r="Q12" s="830">
        <f t="shared" si="1"/>
        <v>140</v>
      </c>
    </row>
    <row r="13" spans="1:17" s="8" customFormat="1" ht="18.95" customHeight="1">
      <c r="A13" s="240">
        <v>4</v>
      </c>
      <c r="B13" s="520" t="s">
        <v>384</v>
      </c>
      <c r="C13" s="236"/>
      <c r="D13" s="236"/>
      <c r="E13" s="237">
        <f t="shared" si="2"/>
        <v>0</v>
      </c>
      <c r="F13" s="236">
        <v>12</v>
      </c>
      <c r="G13" s="236">
        <v>9</v>
      </c>
      <c r="H13" s="237">
        <f t="shared" si="3"/>
        <v>21</v>
      </c>
      <c r="I13" s="236">
        <v>3</v>
      </c>
      <c r="J13" s="236">
        <v>1</v>
      </c>
      <c r="K13" s="237">
        <f t="shared" si="4"/>
        <v>4</v>
      </c>
      <c r="L13" s="236"/>
      <c r="M13" s="236">
        <v>1</v>
      </c>
      <c r="N13" s="237">
        <f t="shared" si="5"/>
        <v>1</v>
      </c>
      <c r="O13" s="26">
        <f t="shared" si="0"/>
        <v>26</v>
      </c>
      <c r="Q13" s="830">
        <f t="shared" si="1"/>
        <v>21</v>
      </c>
    </row>
    <row r="14" spans="1:17" s="8" customFormat="1" ht="18.95" customHeight="1">
      <c r="A14" s="240">
        <v>5</v>
      </c>
      <c r="B14" s="520" t="s">
        <v>1138</v>
      </c>
      <c r="C14" s="236"/>
      <c r="D14" s="236"/>
      <c r="E14" s="237">
        <f t="shared" si="2"/>
        <v>0</v>
      </c>
      <c r="F14" s="236"/>
      <c r="G14" s="236"/>
      <c r="H14" s="237">
        <f t="shared" si="3"/>
        <v>0</v>
      </c>
      <c r="I14" s="236"/>
      <c r="J14" s="236"/>
      <c r="K14" s="237">
        <f t="shared" si="4"/>
        <v>0</v>
      </c>
      <c r="L14" s="236"/>
      <c r="M14" s="236"/>
      <c r="N14" s="237">
        <f t="shared" si="5"/>
        <v>0</v>
      </c>
      <c r="O14" s="26">
        <f t="shared" si="0"/>
        <v>0</v>
      </c>
      <c r="Q14" s="830">
        <f t="shared" si="1"/>
        <v>0</v>
      </c>
    </row>
    <row r="15" spans="1:17" s="8" customFormat="1" ht="18.95" customHeight="1">
      <c r="A15" s="269">
        <v>6</v>
      </c>
      <c r="B15" s="520" t="s">
        <v>411</v>
      </c>
      <c r="C15" s="235"/>
      <c r="D15" s="235"/>
      <c r="E15" s="196">
        <f t="shared" ref="E15" si="6">C15+D15</f>
        <v>0</v>
      </c>
      <c r="F15" s="235">
        <v>4</v>
      </c>
      <c r="G15" s="235">
        <v>5</v>
      </c>
      <c r="H15" s="196">
        <f t="shared" ref="H15" si="7">F15+G15</f>
        <v>9</v>
      </c>
      <c r="I15" s="235">
        <v>10</v>
      </c>
      <c r="J15" s="235">
        <v>3</v>
      </c>
      <c r="K15" s="196">
        <f t="shared" ref="K15" si="8">I15+J15</f>
        <v>13</v>
      </c>
      <c r="L15" s="235"/>
      <c r="M15" s="235"/>
      <c r="N15" s="196">
        <f t="shared" ref="N15" si="9">L15+M15</f>
        <v>0</v>
      </c>
      <c r="O15" s="26">
        <f t="shared" si="0"/>
        <v>22</v>
      </c>
      <c r="Q15" s="830">
        <f t="shared" si="1"/>
        <v>9</v>
      </c>
    </row>
    <row r="16" spans="1:17" ht="20.100000000000001" customHeight="1">
      <c r="A16" s="1512" t="s">
        <v>893</v>
      </c>
      <c r="B16" s="1513"/>
      <c r="C16" s="231">
        <f>SUM(C10:C15)</f>
        <v>89</v>
      </c>
      <c r="D16" s="231">
        <f t="shared" ref="D16" si="10">SUM(D10:D15)</f>
        <v>108</v>
      </c>
      <c r="E16" s="233">
        <f>C16+D16</f>
        <v>197</v>
      </c>
      <c r="F16" s="231">
        <f t="shared" ref="F16:G16" si="11">SUM(F10:F15)</f>
        <v>53</v>
      </c>
      <c r="G16" s="231">
        <f t="shared" si="11"/>
        <v>78</v>
      </c>
      <c r="H16" s="233">
        <f>F16+G16</f>
        <v>131</v>
      </c>
      <c r="I16" s="231">
        <f t="shared" ref="I16:J16" si="12">SUM(I10:I15)</f>
        <v>42</v>
      </c>
      <c r="J16" s="231">
        <f t="shared" si="12"/>
        <v>24</v>
      </c>
      <c r="K16" s="233">
        <f>I16+J16</f>
        <v>66</v>
      </c>
      <c r="L16" s="231">
        <f t="shared" ref="L16:M16" si="13">SUM(L10:L15)</f>
        <v>13</v>
      </c>
      <c r="M16" s="231">
        <f t="shared" si="13"/>
        <v>8</v>
      </c>
      <c r="N16" s="233">
        <f>L16+M16</f>
        <v>21</v>
      </c>
      <c r="O16" s="249">
        <f>E16+H16+K16+N16</f>
        <v>415</v>
      </c>
      <c r="Q16" s="830"/>
    </row>
    <row r="17" spans="1:17" ht="15" customHeight="1">
      <c r="A17" s="1476" t="s">
        <v>147</v>
      </c>
      <c r="B17" s="1478"/>
      <c r="C17" s="27"/>
      <c r="D17" s="27"/>
      <c r="E17" s="28"/>
      <c r="F17" s="27"/>
      <c r="G17" s="27"/>
      <c r="H17" s="28"/>
      <c r="I17" s="27"/>
      <c r="J17" s="27"/>
      <c r="K17" s="28"/>
      <c r="L17" s="27"/>
      <c r="M17" s="27"/>
      <c r="N17" s="28"/>
      <c r="O17" s="27"/>
      <c r="Q17" s="830">
        <f t="shared" si="1"/>
        <v>0</v>
      </c>
    </row>
    <row r="18" spans="1:17" s="8" customFormat="1" ht="18.95" customHeight="1">
      <c r="A18" s="239">
        <v>1</v>
      </c>
      <c r="B18" s="790" t="s">
        <v>364</v>
      </c>
      <c r="C18" s="25">
        <v>161</v>
      </c>
      <c r="D18" s="25">
        <v>74</v>
      </c>
      <c r="E18" s="234">
        <f>C18+D18</f>
        <v>235</v>
      </c>
      <c r="F18" s="25">
        <v>44</v>
      </c>
      <c r="G18" s="25">
        <v>52</v>
      </c>
      <c r="H18" s="234">
        <f>F18+G18</f>
        <v>96</v>
      </c>
      <c r="I18" s="25">
        <f>46+15</f>
        <v>61</v>
      </c>
      <c r="J18" s="25">
        <f>36+5</f>
        <v>41</v>
      </c>
      <c r="K18" s="234">
        <f>I18+J18</f>
        <v>102</v>
      </c>
      <c r="L18" s="25">
        <v>41</v>
      </c>
      <c r="M18" s="25">
        <v>19</v>
      </c>
      <c r="N18" s="234">
        <f>L18+M18</f>
        <v>60</v>
      </c>
      <c r="O18" s="238">
        <f t="shared" ref="O18:O32" si="14">+E18+H18+K18+N18</f>
        <v>493</v>
      </c>
      <c r="Q18" s="830">
        <f t="shared" si="1"/>
        <v>331</v>
      </c>
    </row>
    <row r="19" spans="1:17" s="8" customFormat="1" ht="18.95" customHeight="1">
      <c r="A19" s="240">
        <v>2</v>
      </c>
      <c r="B19" s="790" t="s">
        <v>1139</v>
      </c>
      <c r="C19" s="236">
        <v>34</v>
      </c>
      <c r="D19" s="236">
        <v>64</v>
      </c>
      <c r="E19" s="237">
        <f>C19+D19</f>
        <v>98</v>
      </c>
      <c r="F19" s="236"/>
      <c r="G19" s="236"/>
      <c r="H19" s="237">
        <f>F19+G19</f>
        <v>0</v>
      </c>
      <c r="I19" s="236">
        <v>9</v>
      </c>
      <c r="J19" s="236">
        <v>11</v>
      </c>
      <c r="K19" s="237">
        <f>I19+J19</f>
        <v>20</v>
      </c>
      <c r="L19" s="236">
        <v>18</v>
      </c>
      <c r="M19" s="236">
        <v>35</v>
      </c>
      <c r="N19" s="237">
        <f>L19+M19</f>
        <v>53</v>
      </c>
      <c r="O19" s="238">
        <f t="shared" si="14"/>
        <v>171</v>
      </c>
      <c r="Q19" s="830">
        <f t="shared" si="1"/>
        <v>98</v>
      </c>
    </row>
    <row r="20" spans="1:17" s="8" customFormat="1" ht="18.95" customHeight="1">
      <c r="A20" s="240">
        <v>3</v>
      </c>
      <c r="B20" s="520" t="s">
        <v>1140</v>
      </c>
      <c r="C20" s="236">
        <v>27</v>
      </c>
      <c r="D20" s="236">
        <v>4</v>
      </c>
      <c r="E20" s="237">
        <f t="shared" ref="E20:E22" si="15">C20+D20</f>
        <v>31</v>
      </c>
      <c r="F20" s="236">
        <f>36+37</f>
        <v>73</v>
      </c>
      <c r="G20" s="236">
        <f>6+9</f>
        <v>15</v>
      </c>
      <c r="H20" s="237">
        <f t="shared" ref="H20:H22" si="16">F20+G20</f>
        <v>88</v>
      </c>
      <c r="I20" s="236"/>
      <c r="J20" s="236"/>
      <c r="K20" s="237">
        <f t="shared" ref="K20:K22" si="17">I20+J20</f>
        <v>0</v>
      </c>
      <c r="L20" s="236"/>
      <c r="M20" s="236"/>
      <c r="N20" s="237">
        <f t="shared" ref="N20:N22" si="18">L20+M20</f>
        <v>0</v>
      </c>
      <c r="O20" s="238">
        <f t="shared" si="14"/>
        <v>119</v>
      </c>
      <c r="Q20" s="830">
        <f t="shared" si="1"/>
        <v>119</v>
      </c>
    </row>
    <row r="21" spans="1:17" s="8" customFormat="1" ht="18.95" customHeight="1">
      <c r="A21" s="240">
        <v>4</v>
      </c>
      <c r="B21" s="790" t="s">
        <v>388</v>
      </c>
      <c r="C21" s="236">
        <f>44+31+24+24</f>
        <v>123</v>
      </c>
      <c r="D21" s="236">
        <f>9+13+16+6</f>
        <v>44</v>
      </c>
      <c r="E21" s="237">
        <f t="shared" si="15"/>
        <v>167</v>
      </c>
      <c r="F21" s="236">
        <f>41+46</f>
        <v>87</v>
      </c>
      <c r="G21" s="236">
        <f>17+6</f>
        <v>23</v>
      </c>
      <c r="H21" s="237">
        <f t="shared" si="16"/>
        <v>110</v>
      </c>
      <c r="I21" s="236">
        <v>4</v>
      </c>
      <c r="J21" s="236">
        <v>3</v>
      </c>
      <c r="K21" s="237">
        <f t="shared" si="17"/>
        <v>7</v>
      </c>
      <c r="L21" s="236">
        <v>3</v>
      </c>
      <c r="M21" s="236"/>
      <c r="N21" s="237">
        <f t="shared" si="18"/>
        <v>3</v>
      </c>
      <c r="O21" s="238">
        <f t="shared" si="14"/>
        <v>287</v>
      </c>
      <c r="Q21" s="830">
        <f t="shared" si="1"/>
        <v>277</v>
      </c>
    </row>
    <row r="22" spans="1:17" s="8" customFormat="1" ht="18.95" customHeight="1">
      <c r="A22" s="240">
        <v>5</v>
      </c>
      <c r="B22" s="790" t="s">
        <v>378</v>
      </c>
      <c r="C22" s="236">
        <v>35</v>
      </c>
      <c r="D22" s="236">
        <v>15</v>
      </c>
      <c r="E22" s="237">
        <f t="shared" si="15"/>
        <v>50</v>
      </c>
      <c r="F22" s="236">
        <v>8</v>
      </c>
      <c r="G22" s="236">
        <v>5</v>
      </c>
      <c r="H22" s="237">
        <f t="shared" si="16"/>
        <v>13</v>
      </c>
      <c r="I22" s="236">
        <v>5</v>
      </c>
      <c r="J22" s="236">
        <v>2</v>
      </c>
      <c r="K22" s="237">
        <f t="shared" si="17"/>
        <v>7</v>
      </c>
      <c r="L22" s="236">
        <v>1</v>
      </c>
      <c r="M22" s="236"/>
      <c r="N22" s="237">
        <f t="shared" si="18"/>
        <v>1</v>
      </c>
      <c r="O22" s="238">
        <f t="shared" si="14"/>
        <v>71</v>
      </c>
      <c r="Q22" s="830">
        <f t="shared" si="1"/>
        <v>63</v>
      </c>
    </row>
    <row r="23" spans="1:17" s="8" customFormat="1" ht="18.95" customHeight="1">
      <c r="A23" s="240">
        <v>6</v>
      </c>
      <c r="B23" s="520" t="s">
        <v>1141</v>
      </c>
      <c r="C23" s="236">
        <v>94</v>
      </c>
      <c r="D23" s="236">
        <v>25</v>
      </c>
      <c r="E23" s="237">
        <f t="shared" ref="E23:E32" si="19">C23+D23</f>
        <v>119</v>
      </c>
      <c r="F23" s="236">
        <v>135</v>
      </c>
      <c r="G23" s="236">
        <v>59</v>
      </c>
      <c r="H23" s="237">
        <f t="shared" ref="H23:H32" si="20">F23+G23</f>
        <v>194</v>
      </c>
      <c r="I23" s="236">
        <v>2</v>
      </c>
      <c r="J23" s="236">
        <v>3</v>
      </c>
      <c r="K23" s="237">
        <f t="shared" ref="K23:K32" si="21">I23+J23</f>
        <v>5</v>
      </c>
      <c r="L23" s="236">
        <v>5</v>
      </c>
      <c r="M23" s="236">
        <v>5</v>
      </c>
      <c r="N23" s="237">
        <f t="shared" ref="N23:N32" si="22">L23+M23</f>
        <v>10</v>
      </c>
      <c r="O23" s="238">
        <f t="shared" si="14"/>
        <v>328</v>
      </c>
      <c r="Q23" s="830">
        <f t="shared" si="1"/>
        <v>313</v>
      </c>
    </row>
    <row r="24" spans="1:17" s="8" customFormat="1" ht="18.95" customHeight="1">
      <c r="A24" s="240">
        <v>7</v>
      </c>
      <c r="B24" s="790" t="s">
        <v>417</v>
      </c>
      <c r="C24" s="236">
        <v>119</v>
      </c>
      <c r="D24" s="236">
        <v>42</v>
      </c>
      <c r="E24" s="237">
        <f t="shared" si="19"/>
        <v>161</v>
      </c>
      <c r="F24" s="236">
        <v>74</v>
      </c>
      <c r="G24" s="236">
        <v>50</v>
      </c>
      <c r="H24" s="237">
        <f t="shared" si="20"/>
        <v>124</v>
      </c>
      <c r="I24" s="236">
        <v>50</v>
      </c>
      <c r="J24" s="236">
        <v>30</v>
      </c>
      <c r="K24" s="237">
        <f t="shared" si="21"/>
        <v>80</v>
      </c>
      <c r="L24" s="236">
        <v>30</v>
      </c>
      <c r="M24" s="236">
        <v>0</v>
      </c>
      <c r="N24" s="237">
        <f t="shared" si="22"/>
        <v>30</v>
      </c>
      <c r="O24" s="238">
        <f t="shared" si="14"/>
        <v>395</v>
      </c>
      <c r="Q24" s="830">
        <f t="shared" si="1"/>
        <v>285</v>
      </c>
    </row>
    <row r="25" spans="1:17" s="8" customFormat="1" ht="18.95" customHeight="1">
      <c r="A25" s="240">
        <v>8</v>
      </c>
      <c r="B25" s="520" t="s">
        <v>421</v>
      </c>
      <c r="C25" s="236">
        <v>34</v>
      </c>
      <c r="D25" s="236">
        <v>137</v>
      </c>
      <c r="E25" s="237">
        <f t="shared" si="19"/>
        <v>171</v>
      </c>
      <c r="F25" s="236">
        <v>2</v>
      </c>
      <c r="G25" s="236">
        <v>89</v>
      </c>
      <c r="H25" s="237">
        <f t="shared" si="20"/>
        <v>91</v>
      </c>
      <c r="I25" s="236">
        <v>2</v>
      </c>
      <c r="J25" s="236">
        <v>25</v>
      </c>
      <c r="K25" s="237">
        <f t="shared" si="21"/>
        <v>27</v>
      </c>
      <c r="L25" s="236">
        <v>1</v>
      </c>
      <c r="M25" s="236">
        <v>9</v>
      </c>
      <c r="N25" s="237">
        <f t="shared" si="22"/>
        <v>10</v>
      </c>
      <c r="O25" s="238">
        <f t="shared" si="14"/>
        <v>299</v>
      </c>
      <c r="Q25" s="830">
        <f t="shared" si="1"/>
        <v>262</v>
      </c>
    </row>
    <row r="26" spans="1:17" s="8" customFormat="1" ht="18.95" customHeight="1">
      <c r="A26" s="240">
        <v>9</v>
      </c>
      <c r="B26" s="520" t="s">
        <v>1142</v>
      </c>
      <c r="C26" s="236"/>
      <c r="D26" s="236"/>
      <c r="E26" s="237">
        <f t="shared" si="19"/>
        <v>0</v>
      </c>
      <c r="F26" s="236">
        <v>14</v>
      </c>
      <c r="G26" s="236">
        <v>3</v>
      </c>
      <c r="H26" s="237">
        <f t="shared" si="20"/>
        <v>17</v>
      </c>
      <c r="I26" s="236">
        <v>11</v>
      </c>
      <c r="J26" s="236">
        <v>6</v>
      </c>
      <c r="K26" s="237">
        <f t="shared" si="21"/>
        <v>17</v>
      </c>
      <c r="L26" s="236"/>
      <c r="M26" s="236"/>
      <c r="N26" s="237">
        <f t="shared" si="22"/>
        <v>0</v>
      </c>
      <c r="O26" s="238">
        <f t="shared" si="14"/>
        <v>34</v>
      </c>
      <c r="Q26" s="830">
        <f t="shared" si="1"/>
        <v>17</v>
      </c>
    </row>
    <row r="27" spans="1:17" s="8" customFormat="1" ht="18.95" customHeight="1">
      <c r="A27" s="240">
        <v>10</v>
      </c>
      <c r="B27" s="790" t="s">
        <v>1143</v>
      </c>
      <c r="C27" s="236"/>
      <c r="D27" s="236"/>
      <c r="E27" s="237">
        <f t="shared" si="19"/>
        <v>0</v>
      </c>
      <c r="F27" s="236">
        <v>8</v>
      </c>
      <c r="G27" s="236">
        <v>14</v>
      </c>
      <c r="H27" s="237">
        <f t="shared" si="20"/>
        <v>22</v>
      </c>
      <c r="I27" s="236">
        <v>12</v>
      </c>
      <c r="J27" s="236">
        <v>4</v>
      </c>
      <c r="K27" s="237">
        <f t="shared" si="21"/>
        <v>16</v>
      </c>
      <c r="L27" s="236">
        <v>3</v>
      </c>
      <c r="M27" s="236">
        <v>1</v>
      </c>
      <c r="N27" s="237">
        <f t="shared" si="22"/>
        <v>4</v>
      </c>
      <c r="O27" s="238">
        <f t="shared" si="14"/>
        <v>42</v>
      </c>
      <c r="Q27" s="830">
        <f t="shared" si="1"/>
        <v>22</v>
      </c>
    </row>
    <row r="28" spans="1:17" s="8" customFormat="1" ht="18.95" customHeight="1">
      <c r="A28" s="240">
        <v>11</v>
      </c>
      <c r="B28" s="520" t="s">
        <v>1144</v>
      </c>
      <c r="C28" s="236"/>
      <c r="D28" s="236">
        <f>224+26</f>
        <v>250</v>
      </c>
      <c r="E28" s="237">
        <f t="shared" si="19"/>
        <v>250</v>
      </c>
      <c r="F28" s="236"/>
      <c r="G28" s="236"/>
      <c r="H28" s="237">
        <f t="shared" si="20"/>
        <v>0</v>
      </c>
      <c r="I28" s="236"/>
      <c r="J28" s="236"/>
      <c r="K28" s="237">
        <f t="shared" si="21"/>
        <v>0</v>
      </c>
      <c r="L28" s="236"/>
      <c r="M28" s="236"/>
      <c r="N28" s="237">
        <f t="shared" si="22"/>
        <v>0</v>
      </c>
      <c r="O28" s="238">
        <f t="shared" si="14"/>
        <v>250</v>
      </c>
      <c r="Q28" s="830">
        <f t="shared" si="1"/>
        <v>250</v>
      </c>
    </row>
    <row r="29" spans="1:17" s="8" customFormat="1" ht="18.95" customHeight="1">
      <c r="A29" s="240">
        <v>12</v>
      </c>
      <c r="B29" s="790" t="s">
        <v>356</v>
      </c>
      <c r="C29" s="236"/>
      <c r="D29" s="236"/>
      <c r="E29" s="237">
        <f t="shared" si="19"/>
        <v>0</v>
      </c>
      <c r="F29" s="236">
        <v>85</v>
      </c>
      <c r="G29" s="236">
        <v>15</v>
      </c>
      <c r="H29" s="237">
        <f t="shared" si="20"/>
        <v>100</v>
      </c>
      <c r="I29" s="236"/>
      <c r="J29" s="236"/>
      <c r="K29" s="237">
        <f t="shared" si="21"/>
        <v>0</v>
      </c>
      <c r="L29" s="236"/>
      <c r="M29" s="236"/>
      <c r="N29" s="237">
        <f t="shared" si="22"/>
        <v>0</v>
      </c>
      <c r="O29" s="238">
        <f t="shared" si="14"/>
        <v>100</v>
      </c>
      <c r="Q29" s="830">
        <f t="shared" si="1"/>
        <v>100</v>
      </c>
    </row>
    <row r="30" spans="1:17" s="8" customFormat="1" ht="18.95" customHeight="1">
      <c r="A30" s="240">
        <v>13</v>
      </c>
      <c r="B30" s="520" t="s">
        <v>432</v>
      </c>
      <c r="C30" s="236">
        <v>94</v>
      </c>
      <c r="D30" s="236">
        <v>28</v>
      </c>
      <c r="E30" s="237">
        <f t="shared" si="19"/>
        <v>122</v>
      </c>
      <c r="F30" s="236">
        <v>62</v>
      </c>
      <c r="G30" s="236">
        <v>37</v>
      </c>
      <c r="H30" s="237">
        <f t="shared" si="20"/>
        <v>99</v>
      </c>
      <c r="I30" s="236">
        <v>10</v>
      </c>
      <c r="J30" s="236"/>
      <c r="K30" s="237">
        <f t="shared" si="21"/>
        <v>10</v>
      </c>
      <c r="L30" s="236">
        <v>4</v>
      </c>
      <c r="M30" s="236"/>
      <c r="N30" s="237">
        <f t="shared" si="22"/>
        <v>4</v>
      </c>
      <c r="O30" s="238">
        <f t="shared" si="14"/>
        <v>235</v>
      </c>
      <c r="Q30" s="830">
        <f t="shared" si="1"/>
        <v>221</v>
      </c>
    </row>
    <row r="31" spans="1:17" s="8" customFormat="1" ht="18.95" customHeight="1">
      <c r="A31" s="240">
        <v>14</v>
      </c>
      <c r="B31" s="790" t="s">
        <v>434</v>
      </c>
      <c r="C31" s="236">
        <f>40+25+27+22</f>
        <v>114</v>
      </c>
      <c r="D31" s="236">
        <f>22+17+11+9</f>
        <v>59</v>
      </c>
      <c r="E31" s="237">
        <f t="shared" ref="E31" si="23">C31+D31</f>
        <v>173</v>
      </c>
      <c r="F31" s="236">
        <f>11+19</f>
        <v>30</v>
      </c>
      <c r="G31" s="236">
        <f>31+20</f>
        <v>51</v>
      </c>
      <c r="H31" s="237">
        <f t="shared" ref="H31" si="24">F31+G31</f>
        <v>81</v>
      </c>
      <c r="I31" s="236">
        <v>39</v>
      </c>
      <c r="J31" s="236">
        <v>12</v>
      </c>
      <c r="K31" s="237">
        <f t="shared" ref="K31" si="25">I31+J31</f>
        <v>51</v>
      </c>
      <c r="L31" s="236">
        <v>36</v>
      </c>
      <c r="M31" s="236">
        <v>4</v>
      </c>
      <c r="N31" s="237">
        <f t="shared" ref="N31" si="26">L31+M31</f>
        <v>40</v>
      </c>
      <c r="O31" s="238">
        <f t="shared" ref="O31" si="27">+E31+H31+K31+N31</f>
        <v>345</v>
      </c>
      <c r="Q31" s="830">
        <f t="shared" si="1"/>
        <v>254</v>
      </c>
    </row>
    <row r="32" spans="1:17" s="8" customFormat="1" ht="18.95" customHeight="1">
      <c r="A32" s="240">
        <v>15</v>
      </c>
      <c r="B32" s="520" t="s">
        <v>1184</v>
      </c>
      <c r="C32" s="236"/>
      <c r="D32" s="236"/>
      <c r="E32" s="237">
        <f t="shared" si="19"/>
        <v>0</v>
      </c>
      <c r="F32" s="236">
        <v>367</v>
      </c>
      <c r="G32" s="236">
        <v>282</v>
      </c>
      <c r="H32" s="237">
        <f t="shared" si="20"/>
        <v>649</v>
      </c>
      <c r="I32" s="236"/>
      <c r="J32" s="236"/>
      <c r="K32" s="237">
        <f t="shared" si="21"/>
        <v>0</v>
      </c>
      <c r="L32" s="236"/>
      <c r="M32" s="236"/>
      <c r="N32" s="237">
        <f t="shared" si="22"/>
        <v>0</v>
      </c>
      <c r="O32" s="238">
        <f t="shared" si="14"/>
        <v>649</v>
      </c>
      <c r="Q32" s="830">
        <f t="shared" si="1"/>
        <v>649</v>
      </c>
    </row>
    <row r="33" spans="1:17" ht="20.100000000000001" customHeight="1">
      <c r="A33" s="1512" t="s">
        <v>893</v>
      </c>
      <c r="B33" s="1513"/>
      <c r="C33" s="231">
        <f>SUM(C18:C32)</f>
        <v>835</v>
      </c>
      <c r="D33" s="231">
        <f t="shared" ref="D33" si="28">SUM(D18:D32)</f>
        <v>742</v>
      </c>
      <c r="E33" s="233">
        <f>C33+D33</f>
        <v>1577</v>
      </c>
      <c r="F33" s="231">
        <f t="shared" ref="F33:G33" si="29">SUM(F18:F32)</f>
        <v>989</v>
      </c>
      <c r="G33" s="231">
        <f t="shared" si="29"/>
        <v>695</v>
      </c>
      <c r="H33" s="233">
        <f>F33+G33</f>
        <v>1684</v>
      </c>
      <c r="I33" s="231">
        <f t="shared" ref="I33:J33" si="30">SUM(I18:I32)</f>
        <v>205</v>
      </c>
      <c r="J33" s="231">
        <f t="shared" si="30"/>
        <v>137</v>
      </c>
      <c r="K33" s="233">
        <f>I33+J33</f>
        <v>342</v>
      </c>
      <c r="L33" s="231">
        <f t="shared" ref="L33:M33" si="31">SUM(L18:L32)</f>
        <v>142</v>
      </c>
      <c r="M33" s="231">
        <f t="shared" si="31"/>
        <v>73</v>
      </c>
      <c r="N33" s="233">
        <f>L33+M33</f>
        <v>215</v>
      </c>
      <c r="O33" s="249">
        <f>E33+H33+K33+N33</f>
        <v>3818</v>
      </c>
      <c r="Q33" s="830"/>
    </row>
    <row r="34" spans="1:17" ht="15" customHeight="1">
      <c r="A34" s="1518" t="s">
        <v>1145</v>
      </c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Q34" s="830">
        <f t="shared" si="1"/>
        <v>0</v>
      </c>
    </row>
    <row r="35" spans="1:17" s="8" customFormat="1" ht="18.95" customHeight="1">
      <c r="A35" s="239">
        <v>1</v>
      </c>
      <c r="B35" s="520" t="s">
        <v>457</v>
      </c>
      <c r="C35" s="25"/>
      <c r="D35" s="25"/>
      <c r="E35" s="234">
        <f>C35+D35</f>
        <v>0</v>
      </c>
      <c r="F35" s="25">
        <v>5</v>
      </c>
      <c r="G35" s="25">
        <v>18</v>
      </c>
      <c r="H35" s="234">
        <f>F35+G35</f>
        <v>23</v>
      </c>
      <c r="I35" s="25">
        <v>38</v>
      </c>
      <c r="J35" s="25">
        <v>9</v>
      </c>
      <c r="K35" s="234">
        <f>I35+J35</f>
        <v>47</v>
      </c>
      <c r="L35" s="25">
        <v>21</v>
      </c>
      <c r="M35" s="25">
        <v>3</v>
      </c>
      <c r="N35" s="234">
        <f>L35+M35</f>
        <v>24</v>
      </c>
      <c r="O35" s="238">
        <f t="shared" ref="O35:O41" si="32">+E35+H35+K35+N35</f>
        <v>94</v>
      </c>
      <c r="Q35" s="830">
        <f t="shared" si="1"/>
        <v>23</v>
      </c>
    </row>
    <row r="36" spans="1:17" s="8" customFormat="1" ht="18.95" customHeight="1">
      <c r="A36" s="240">
        <v>2</v>
      </c>
      <c r="B36" s="790" t="s">
        <v>1146</v>
      </c>
      <c r="C36" s="236">
        <v>15</v>
      </c>
      <c r="D36" s="236">
        <v>20</v>
      </c>
      <c r="E36" s="237">
        <f>C36+D36</f>
        <v>35</v>
      </c>
      <c r="F36" s="236">
        <v>20</v>
      </c>
      <c r="G36" s="236">
        <v>38</v>
      </c>
      <c r="H36" s="237">
        <f>F36+G36</f>
        <v>58</v>
      </c>
      <c r="I36" s="236">
        <v>3</v>
      </c>
      <c r="J36" s="236">
        <v>2</v>
      </c>
      <c r="K36" s="237">
        <f>I36+J36</f>
        <v>5</v>
      </c>
      <c r="L36" s="236">
        <v>2</v>
      </c>
      <c r="M36" s="236"/>
      <c r="N36" s="237">
        <f>L36+M36</f>
        <v>2</v>
      </c>
      <c r="O36" s="238">
        <f t="shared" si="32"/>
        <v>100</v>
      </c>
      <c r="Q36" s="830">
        <f t="shared" si="1"/>
        <v>93</v>
      </c>
    </row>
    <row r="37" spans="1:17" s="8" customFormat="1" ht="18.95" customHeight="1">
      <c r="A37" s="240">
        <v>3</v>
      </c>
      <c r="B37" s="790" t="s">
        <v>1147</v>
      </c>
      <c r="C37" s="236"/>
      <c r="D37" s="236"/>
      <c r="E37" s="237">
        <f t="shared" ref="E37:E39" si="33">C37+D37</f>
        <v>0</v>
      </c>
      <c r="F37" s="236">
        <v>25</v>
      </c>
      <c r="G37" s="236">
        <v>8</v>
      </c>
      <c r="H37" s="237">
        <f t="shared" ref="H37:H39" si="34">F37+G37</f>
        <v>33</v>
      </c>
      <c r="I37" s="236">
        <v>16</v>
      </c>
      <c r="J37" s="236">
        <v>10</v>
      </c>
      <c r="K37" s="237">
        <f t="shared" ref="K37:K39" si="35">I37+J37</f>
        <v>26</v>
      </c>
      <c r="L37" s="236"/>
      <c r="M37" s="236"/>
      <c r="N37" s="237">
        <f t="shared" ref="N37:N39" si="36">L37+M37</f>
        <v>0</v>
      </c>
      <c r="O37" s="238">
        <f t="shared" si="32"/>
        <v>59</v>
      </c>
      <c r="Q37" s="830">
        <f t="shared" si="1"/>
        <v>33</v>
      </c>
    </row>
    <row r="38" spans="1:17" s="8" customFormat="1" ht="18.95" customHeight="1">
      <c r="A38" s="240">
        <v>4</v>
      </c>
      <c r="B38" s="790" t="s">
        <v>1148</v>
      </c>
      <c r="C38" s="236"/>
      <c r="D38" s="236"/>
      <c r="E38" s="237">
        <f t="shared" si="33"/>
        <v>0</v>
      </c>
      <c r="F38" s="236"/>
      <c r="G38" s="236"/>
      <c r="H38" s="237">
        <f t="shared" si="34"/>
        <v>0</v>
      </c>
      <c r="I38" s="236">
        <v>56</v>
      </c>
      <c r="J38" s="236">
        <v>5</v>
      </c>
      <c r="K38" s="237">
        <f t="shared" si="35"/>
        <v>61</v>
      </c>
      <c r="L38" s="236">
        <v>55</v>
      </c>
      <c r="M38" s="236">
        <v>11</v>
      </c>
      <c r="N38" s="237">
        <f t="shared" si="36"/>
        <v>66</v>
      </c>
      <c r="O38" s="238">
        <f t="shared" si="32"/>
        <v>127</v>
      </c>
      <c r="Q38" s="830">
        <f t="shared" si="1"/>
        <v>0</v>
      </c>
    </row>
    <row r="39" spans="1:17" s="8" customFormat="1" ht="18.95" customHeight="1">
      <c r="A39" s="240">
        <v>5</v>
      </c>
      <c r="B39" s="520" t="s">
        <v>513</v>
      </c>
      <c r="C39" s="236"/>
      <c r="D39" s="236"/>
      <c r="E39" s="237">
        <f t="shared" si="33"/>
        <v>0</v>
      </c>
      <c r="F39" s="236">
        <v>3</v>
      </c>
      <c r="G39" s="236">
        <v>1</v>
      </c>
      <c r="H39" s="237">
        <f t="shared" si="34"/>
        <v>4</v>
      </c>
      <c r="I39" s="236"/>
      <c r="J39" s="236"/>
      <c r="K39" s="237">
        <f t="shared" si="35"/>
        <v>0</v>
      </c>
      <c r="L39" s="236"/>
      <c r="M39" s="236">
        <v>1</v>
      </c>
      <c r="N39" s="237">
        <f t="shared" si="36"/>
        <v>1</v>
      </c>
      <c r="O39" s="238">
        <f t="shared" si="32"/>
        <v>5</v>
      </c>
      <c r="Q39" s="830">
        <f t="shared" si="1"/>
        <v>4</v>
      </c>
    </row>
    <row r="40" spans="1:17" s="8" customFormat="1" ht="18.95" customHeight="1">
      <c r="A40" s="240">
        <v>6</v>
      </c>
      <c r="B40" s="790" t="s">
        <v>427</v>
      </c>
      <c r="C40" s="236"/>
      <c r="D40" s="236"/>
      <c r="E40" s="237">
        <f t="shared" ref="E40:E41" si="37">C40+D40</f>
        <v>0</v>
      </c>
      <c r="F40" s="236"/>
      <c r="G40" s="236"/>
      <c r="H40" s="237">
        <f t="shared" ref="H40:H41" si="38">F40+G40</f>
        <v>0</v>
      </c>
      <c r="I40" s="236"/>
      <c r="J40" s="236"/>
      <c r="K40" s="237">
        <f t="shared" ref="K40:K41" si="39">I40+J40</f>
        <v>0</v>
      </c>
      <c r="L40" s="236">
        <v>16</v>
      </c>
      <c r="M40" s="236">
        <v>3</v>
      </c>
      <c r="N40" s="237">
        <f t="shared" ref="N40:N41" si="40">L40+M40</f>
        <v>19</v>
      </c>
      <c r="O40" s="238">
        <f t="shared" si="32"/>
        <v>19</v>
      </c>
      <c r="Q40" s="830">
        <f t="shared" si="1"/>
        <v>0</v>
      </c>
    </row>
    <row r="41" spans="1:17" s="8" customFormat="1" ht="18.95" customHeight="1">
      <c r="A41" s="240">
        <v>7</v>
      </c>
      <c r="B41" s="790" t="s">
        <v>1149</v>
      </c>
      <c r="C41" s="236">
        <v>75</v>
      </c>
      <c r="D41" s="236">
        <v>14</v>
      </c>
      <c r="E41" s="237">
        <f t="shared" si="37"/>
        <v>89</v>
      </c>
      <c r="F41" s="236">
        <v>55</v>
      </c>
      <c r="G41" s="236">
        <v>27</v>
      </c>
      <c r="H41" s="237">
        <f t="shared" si="38"/>
        <v>82</v>
      </c>
      <c r="I41" s="236">
        <v>20</v>
      </c>
      <c r="J41" s="236">
        <v>7</v>
      </c>
      <c r="K41" s="237">
        <f t="shared" si="39"/>
        <v>27</v>
      </c>
      <c r="L41" s="236">
        <v>35</v>
      </c>
      <c r="M41" s="236">
        <v>11</v>
      </c>
      <c r="N41" s="237">
        <f t="shared" si="40"/>
        <v>46</v>
      </c>
      <c r="O41" s="238">
        <f t="shared" si="32"/>
        <v>244</v>
      </c>
      <c r="Q41" s="830">
        <f t="shared" si="1"/>
        <v>171</v>
      </c>
    </row>
    <row r="42" spans="1:17" ht="20.100000000000001" customHeight="1">
      <c r="A42" s="1512" t="s">
        <v>893</v>
      </c>
      <c r="B42" s="1513"/>
      <c r="C42" s="231">
        <f>SUM(C35:C41)</f>
        <v>90</v>
      </c>
      <c r="D42" s="231">
        <f t="shared" ref="D42" si="41">SUM(D35:D41)</f>
        <v>34</v>
      </c>
      <c r="E42" s="233">
        <f>C42+D42</f>
        <v>124</v>
      </c>
      <c r="F42" s="231">
        <f t="shared" ref="F42:G42" si="42">SUM(F35:F41)</f>
        <v>108</v>
      </c>
      <c r="G42" s="231">
        <f t="shared" si="42"/>
        <v>92</v>
      </c>
      <c r="H42" s="233">
        <f>F42+G42</f>
        <v>200</v>
      </c>
      <c r="I42" s="231">
        <f t="shared" ref="I42:J42" si="43">SUM(I35:I41)</f>
        <v>133</v>
      </c>
      <c r="J42" s="231">
        <f t="shared" si="43"/>
        <v>33</v>
      </c>
      <c r="K42" s="233">
        <f>I42+J42</f>
        <v>166</v>
      </c>
      <c r="L42" s="231">
        <f t="shared" ref="L42:M42" si="44">SUM(L35:L41)</f>
        <v>129</v>
      </c>
      <c r="M42" s="231">
        <f t="shared" si="44"/>
        <v>29</v>
      </c>
      <c r="N42" s="233">
        <f>L42+M42</f>
        <v>158</v>
      </c>
      <c r="O42" s="249">
        <f>E42+H42+K42+N42</f>
        <v>648</v>
      </c>
      <c r="Q42" s="830"/>
    </row>
    <row r="43" spans="1:17" ht="15" customHeight="1">
      <c r="A43" s="1518" t="s">
        <v>1150</v>
      </c>
      <c r="B43" s="1518"/>
      <c r="C43" s="1518"/>
      <c r="D43" s="1518"/>
      <c r="E43" s="1518"/>
      <c r="F43" s="1518"/>
      <c r="G43" s="1518"/>
      <c r="H43" s="1518"/>
      <c r="I43" s="1518"/>
      <c r="J43" s="1518"/>
      <c r="K43" s="1518"/>
      <c r="L43" s="1518"/>
      <c r="M43" s="1518"/>
      <c r="N43" s="1518"/>
      <c r="O43" s="1518"/>
      <c r="Q43" s="830">
        <f t="shared" si="1"/>
        <v>0</v>
      </c>
    </row>
    <row r="44" spans="1:17" s="8" customFormat="1" ht="18.95" customHeight="1">
      <c r="A44" s="239">
        <v>1</v>
      </c>
      <c r="B44" s="520" t="s">
        <v>537</v>
      </c>
      <c r="C44" s="25">
        <v>180</v>
      </c>
      <c r="D44" s="25">
        <v>27</v>
      </c>
      <c r="E44" s="234">
        <f>C44+D44</f>
        <v>207</v>
      </c>
      <c r="F44" s="25">
        <v>40</v>
      </c>
      <c r="G44" s="25">
        <v>10</v>
      </c>
      <c r="H44" s="234">
        <f>F44+G44</f>
        <v>50</v>
      </c>
      <c r="I44" s="25">
        <v>53</v>
      </c>
      <c r="J44" s="25">
        <v>6</v>
      </c>
      <c r="K44" s="234">
        <f>I44+J44</f>
        <v>59</v>
      </c>
      <c r="L44" s="25">
        <v>23</v>
      </c>
      <c r="M44" s="25">
        <v>5</v>
      </c>
      <c r="N44" s="234">
        <f>L44+M44</f>
        <v>28</v>
      </c>
      <c r="O44" s="238">
        <f t="shared" ref="O44:O49" si="45">+E44+H44+K44+N44</f>
        <v>344</v>
      </c>
      <c r="Q44" s="830">
        <f t="shared" si="1"/>
        <v>257</v>
      </c>
    </row>
    <row r="45" spans="1:17" s="8" customFormat="1" ht="18.95" customHeight="1">
      <c r="A45" s="240">
        <v>2</v>
      </c>
      <c r="B45" s="790" t="s">
        <v>1151</v>
      </c>
      <c r="C45" s="236">
        <v>113</v>
      </c>
      <c r="D45" s="236">
        <v>33</v>
      </c>
      <c r="E45" s="237">
        <f>C45+D45</f>
        <v>146</v>
      </c>
      <c r="F45" s="236">
        <v>72</v>
      </c>
      <c r="G45" s="236">
        <v>22</v>
      </c>
      <c r="H45" s="237">
        <f>F45+G45</f>
        <v>94</v>
      </c>
      <c r="I45" s="236">
        <v>41</v>
      </c>
      <c r="J45" s="236">
        <v>24</v>
      </c>
      <c r="K45" s="237">
        <f>I45+J45</f>
        <v>65</v>
      </c>
      <c r="L45" s="236">
        <v>30</v>
      </c>
      <c r="M45" s="236">
        <v>7</v>
      </c>
      <c r="N45" s="237">
        <f>L45+M45</f>
        <v>37</v>
      </c>
      <c r="O45" s="238">
        <f t="shared" si="45"/>
        <v>342</v>
      </c>
      <c r="Q45" s="830">
        <f t="shared" si="1"/>
        <v>240</v>
      </c>
    </row>
    <row r="46" spans="1:17" s="8" customFormat="1" ht="18.95" customHeight="1">
      <c r="A46" s="240">
        <v>3</v>
      </c>
      <c r="B46" s="790" t="s">
        <v>504</v>
      </c>
      <c r="C46" s="236">
        <f>41+40+33+21</f>
        <v>135</v>
      </c>
      <c r="D46" s="236">
        <f>8+7+8+2</f>
        <v>25</v>
      </c>
      <c r="E46" s="237">
        <f t="shared" ref="E46:E49" si="46">C46+D46</f>
        <v>160</v>
      </c>
      <c r="F46" s="236">
        <f>56+56</f>
        <v>112</v>
      </c>
      <c r="G46" s="236">
        <f>4+4</f>
        <v>8</v>
      </c>
      <c r="H46" s="237">
        <f t="shared" ref="H46:H49" si="47">F46+G46</f>
        <v>120</v>
      </c>
      <c r="I46" s="236">
        <f>19+88</f>
        <v>107</v>
      </c>
      <c r="J46" s="236">
        <f>7+23</f>
        <v>30</v>
      </c>
      <c r="K46" s="237">
        <f t="shared" ref="K46:K49" si="48">I46+J46</f>
        <v>137</v>
      </c>
      <c r="L46" s="236">
        <f>26+5</f>
        <v>31</v>
      </c>
      <c r="M46" s="236">
        <v>9</v>
      </c>
      <c r="N46" s="237">
        <f t="shared" ref="N46:N49" si="49">L46+M46</f>
        <v>40</v>
      </c>
      <c r="O46" s="238">
        <f t="shared" si="45"/>
        <v>457</v>
      </c>
      <c r="Q46" s="830">
        <f t="shared" si="1"/>
        <v>280</v>
      </c>
    </row>
    <row r="47" spans="1:17" s="8" customFormat="1" ht="18.95" customHeight="1">
      <c r="A47" s="240">
        <v>4</v>
      </c>
      <c r="B47" s="790" t="s">
        <v>516</v>
      </c>
      <c r="C47" s="236">
        <f>20+20+19+11</f>
        <v>70</v>
      </c>
      <c r="D47" s="236">
        <f>3+6+6+2</f>
        <v>17</v>
      </c>
      <c r="E47" s="237">
        <f t="shared" si="46"/>
        <v>87</v>
      </c>
      <c r="F47" s="236">
        <v>36</v>
      </c>
      <c r="G47" s="236">
        <v>22</v>
      </c>
      <c r="H47" s="237">
        <f t="shared" si="47"/>
        <v>58</v>
      </c>
      <c r="I47" s="236">
        <v>20</v>
      </c>
      <c r="J47" s="236">
        <v>15</v>
      </c>
      <c r="K47" s="237">
        <f t="shared" si="48"/>
        <v>35</v>
      </c>
      <c r="L47" s="236">
        <v>12</v>
      </c>
      <c r="M47" s="236">
        <v>3</v>
      </c>
      <c r="N47" s="237">
        <f t="shared" si="49"/>
        <v>15</v>
      </c>
      <c r="O47" s="238">
        <f t="shared" si="45"/>
        <v>195</v>
      </c>
      <c r="Q47" s="830">
        <f t="shared" si="1"/>
        <v>145</v>
      </c>
    </row>
    <row r="48" spans="1:17" s="8" customFormat="1" ht="18.95" customHeight="1">
      <c r="A48" s="240">
        <v>5</v>
      </c>
      <c r="B48" s="790" t="s">
        <v>470</v>
      </c>
      <c r="C48" s="236">
        <v>152</v>
      </c>
      <c r="D48" s="236">
        <v>18</v>
      </c>
      <c r="E48" s="237">
        <f t="shared" si="46"/>
        <v>170</v>
      </c>
      <c r="F48" s="236">
        <v>49</v>
      </c>
      <c r="G48" s="236">
        <v>5</v>
      </c>
      <c r="H48" s="237">
        <f t="shared" si="47"/>
        <v>54</v>
      </c>
      <c r="I48" s="236">
        <v>49</v>
      </c>
      <c r="J48" s="236">
        <v>5</v>
      </c>
      <c r="K48" s="237">
        <f t="shared" si="48"/>
        <v>54</v>
      </c>
      <c r="L48" s="236">
        <v>11</v>
      </c>
      <c r="M48" s="236"/>
      <c r="N48" s="237">
        <f t="shared" si="49"/>
        <v>11</v>
      </c>
      <c r="O48" s="238">
        <f t="shared" si="45"/>
        <v>289</v>
      </c>
      <c r="Q48" s="830">
        <f t="shared" si="1"/>
        <v>224</v>
      </c>
    </row>
    <row r="49" spans="1:17" s="8" customFormat="1" ht="18.95" customHeight="1">
      <c r="A49" s="269">
        <v>6</v>
      </c>
      <c r="B49" s="243"/>
      <c r="C49" s="235"/>
      <c r="D49" s="235"/>
      <c r="E49" s="196">
        <f t="shared" si="46"/>
        <v>0</v>
      </c>
      <c r="F49" s="235"/>
      <c r="G49" s="235"/>
      <c r="H49" s="196">
        <f t="shared" si="47"/>
        <v>0</v>
      </c>
      <c r="I49" s="235"/>
      <c r="J49" s="235"/>
      <c r="K49" s="196">
        <f t="shared" si="48"/>
        <v>0</v>
      </c>
      <c r="L49" s="235"/>
      <c r="M49" s="235"/>
      <c r="N49" s="196">
        <f t="shared" si="49"/>
        <v>0</v>
      </c>
      <c r="O49" s="238">
        <f t="shared" si="45"/>
        <v>0</v>
      </c>
      <c r="Q49" s="830">
        <f t="shared" si="1"/>
        <v>0</v>
      </c>
    </row>
    <row r="50" spans="1:17" ht="20.100000000000001" customHeight="1">
      <c r="A50" s="1512" t="s">
        <v>893</v>
      </c>
      <c r="B50" s="1513"/>
      <c r="C50" s="244">
        <f>SUM(C44:C48)</f>
        <v>650</v>
      </c>
      <c r="D50" s="245">
        <f>SUM(D44:D48)</f>
        <v>120</v>
      </c>
      <c r="E50" s="30">
        <f>C50+D50</f>
        <v>770</v>
      </c>
      <c r="F50" s="244">
        <f>SUM(F44:F48)</f>
        <v>309</v>
      </c>
      <c r="G50" s="245">
        <f>SUM(G44:G48)</f>
        <v>67</v>
      </c>
      <c r="H50" s="30">
        <f>F50+G50</f>
        <v>376</v>
      </c>
      <c r="I50" s="244">
        <f>SUM(I44:I48)</f>
        <v>270</v>
      </c>
      <c r="J50" s="245">
        <f>SUM(J44:J48)</f>
        <v>80</v>
      </c>
      <c r="K50" s="30">
        <f>I50+J50</f>
        <v>350</v>
      </c>
      <c r="L50" s="244">
        <f>SUM(L44:L48)</f>
        <v>107</v>
      </c>
      <c r="M50" s="245">
        <f>SUM(M44:M48)</f>
        <v>24</v>
      </c>
      <c r="N50" s="30">
        <f>L50+M50</f>
        <v>131</v>
      </c>
      <c r="O50" s="250">
        <f>E50+H50+K50+N50</f>
        <v>1627</v>
      </c>
      <c r="Q50" s="830"/>
    </row>
    <row r="51" spans="1:17" ht="15" customHeight="1">
      <c r="A51" s="1476" t="s">
        <v>1010</v>
      </c>
      <c r="B51" s="1478"/>
      <c r="C51" s="27"/>
      <c r="D51" s="27"/>
      <c r="E51" s="28"/>
      <c r="F51" s="27"/>
      <c r="G51" s="27"/>
      <c r="H51" s="28"/>
      <c r="I51" s="27"/>
      <c r="J51" s="27"/>
      <c r="K51" s="28"/>
      <c r="L51" s="27"/>
      <c r="M51" s="27"/>
      <c r="N51" s="28"/>
      <c r="O51" s="27"/>
      <c r="Q51" s="830">
        <f t="shared" si="1"/>
        <v>0</v>
      </c>
    </row>
    <row r="52" spans="1:17" s="8" customFormat="1" ht="18.95" customHeight="1">
      <c r="A52" s="239">
        <v>1</v>
      </c>
      <c r="B52" s="520" t="s">
        <v>536</v>
      </c>
      <c r="C52" s="25">
        <v>40</v>
      </c>
      <c r="D52" s="25">
        <v>73</v>
      </c>
      <c r="E52" s="234">
        <f>C52+D52</f>
        <v>113</v>
      </c>
      <c r="F52" s="25">
        <v>33</v>
      </c>
      <c r="G52" s="25">
        <v>64</v>
      </c>
      <c r="H52" s="234">
        <f>F52+G52</f>
        <v>97</v>
      </c>
      <c r="I52" s="25">
        <v>32</v>
      </c>
      <c r="J52" s="25">
        <v>20</v>
      </c>
      <c r="K52" s="234">
        <f>I52+J52</f>
        <v>52</v>
      </c>
      <c r="L52" s="25">
        <v>14</v>
      </c>
      <c r="M52" s="25">
        <v>17</v>
      </c>
      <c r="N52" s="234">
        <f>L52+M52</f>
        <v>31</v>
      </c>
      <c r="O52" s="238">
        <f t="shared" ref="O52:O61" si="50">+E52+H52+K52+N52</f>
        <v>293</v>
      </c>
      <c r="Q52" s="830">
        <f t="shared" si="1"/>
        <v>210</v>
      </c>
    </row>
    <row r="53" spans="1:17" s="8" customFormat="1" ht="18.95" customHeight="1">
      <c r="A53" s="597">
        <v>2</v>
      </c>
      <c r="B53" s="520" t="s">
        <v>1278</v>
      </c>
      <c r="C53" s="598">
        <v>79</v>
      </c>
      <c r="D53" s="598">
        <v>95</v>
      </c>
      <c r="E53" s="234">
        <f>C53+D53</f>
        <v>174</v>
      </c>
      <c r="F53" s="598"/>
      <c r="G53" s="598"/>
      <c r="H53" s="234">
        <f>F53+G53</f>
        <v>0</v>
      </c>
      <c r="I53" s="598">
        <v>52</v>
      </c>
      <c r="J53" s="598">
        <v>45</v>
      </c>
      <c r="K53" s="234">
        <f>I53+J53</f>
        <v>97</v>
      </c>
      <c r="L53" s="598">
        <v>29</v>
      </c>
      <c r="M53" s="598">
        <v>24</v>
      </c>
      <c r="N53" s="234">
        <f>L53+M53</f>
        <v>53</v>
      </c>
      <c r="O53" s="238">
        <f t="shared" ref="O53" si="51">+E53+H53+K53+N53</f>
        <v>324</v>
      </c>
      <c r="Q53" s="830"/>
    </row>
    <row r="54" spans="1:17" s="8" customFormat="1" ht="15">
      <c r="A54" s="240" t="s">
        <v>1277</v>
      </c>
      <c r="B54" s="520" t="s">
        <v>1279</v>
      </c>
      <c r="C54" s="236">
        <v>68</v>
      </c>
      <c r="D54" s="236">
        <v>98</v>
      </c>
      <c r="E54" s="237">
        <f>C54+D54</f>
        <v>166</v>
      </c>
      <c r="F54" s="236"/>
      <c r="G54" s="236"/>
      <c r="H54" s="237">
        <f>F54+G54</f>
        <v>0</v>
      </c>
      <c r="I54" s="236"/>
      <c r="J54" s="236"/>
      <c r="K54" s="237">
        <f>I54+J54</f>
        <v>0</v>
      </c>
      <c r="L54" s="236"/>
      <c r="M54" s="236"/>
      <c r="N54" s="237">
        <f>L54+M54</f>
        <v>0</v>
      </c>
      <c r="O54" s="238">
        <f t="shared" si="50"/>
        <v>166</v>
      </c>
      <c r="Q54" s="830"/>
    </row>
    <row r="55" spans="1:17" s="8" customFormat="1" ht="42.75">
      <c r="A55" s="240">
        <v>3</v>
      </c>
      <c r="B55" s="794" t="s">
        <v>1152</v>
      </c>
      <c r="C55" s="236">
        <f>33+46+34+31+17</f>
        <v>161</v>
      </c>
      <c r="D55" s="236">
        <f>5+5+2+1+1</f>
        <v>14</v>
      </c>
      <c r="E55" s="237">
        <f t="shared" ref="E55" si="52">C55+D55</f>
        <v>175</v>
      </c>
      <c r="F55" s="236">
        <v>6</v>
      </c>
      <c r="G55" s="236">
        <v>17</v>
      </c>
      <c r="H55" s="237">
        <f t="shared" ref="H55" si="53">F55+G55</f>
        <v>23</v>
      </c>
      <c r="I55" s="236">
        <v>2</v>
      </c>
      <c r="J55" s="236">
        <v>1</v>
      </c>
      <c r="K55" s="237">
        <f t="shared" ref="K55" si="54">I55+J55</f>
        <v>3</v>
      </c>
      <c r="L55" s="236">
        <v>1</v>
      </c>
      <c r="M55" s="236"/>
      <c r="N55" s="237">
        <f t="shared" ref="N55" si="55">L55+M55</f>
        <v>1</v>
      </c>
      <c r="O55" s="238">
        <f t="shared" si="50"/>
        <v>202</v>
      </c>
      <c r="Q55" s="830">
        <f t="shared" si="1"/>
        <v>198</v>
      </c>
    </row>
    <row r="56" spans="1:17" s="8" customFormat="1" ht="28.5">
      <c r="A56" s="240">
        <v>4</v>
      </c>
      <c r="B56" s="520" t="s">
        <v>1153</v>
      </c>
      <c r="C56" s="236"/>
      <c r="D56" s="236"/>
      <c r="E56" s="237">
        <f t="shared" ref="E56:E65" si="56">C56+D56</f>
        <v>0</v>
      </c>
      <c r="F56" s="236"/>
      <c r="G56" s="236"/>
      <c r="H56" s="237">
        <f t="shared" ref="H56:H65" si="57">F56+G56</f>
        <v>0</v>
      </c>
      <c r="I56" s="236">
        <v>23</v>
      </c>
      <c r="J56" s="236">
        <v>13</v>
      </c>
      <c r="K56" s="237">
        <f t="shared" ref="K56:K65" si="58">I56+J56</f>
        <v>36</v>
      </c>
      <c r="L56" s="236">
        <v>8</v>
      </c>
      <c r="M56" s="236">
        <v>3</v>
      </c>
      <c r="N56" s="237">
        <f t="shared" ref="N56:N65" si="59">L56+M56</f>
        <v>11</v>
      </c>
      <c r="O56" s="238">
        <f t="shared" si="50"/>
        <v>47</v>
      </c>
      <c r="Q56" s="830">
        <f t="shared" si="1"/>
        <v>0</v>
      </c>
    </row>
    <row r="57" spans="1:17" s="8" customFormat="1" ht="18.95" customHeight="1">
      <c r="A57" s="240">
        <v>5</v>
      </c>
      <c r="B57" s="520" t="s">
        <v>1154</v>
      </c>
      <c r="C57" s="236">
        <v>102</v>
      </c>
      <c r="D57" s="236">
        <v>57</v>
      </c>
      <c r="E57" s="237">
        <f t="shared" si="56"/>
        <v>159</v>
      </c>
      <c r="F57" s="236">
        <v>46</v>
      </c>
      <c r="G57" s="236">
        <v>36</v>
      </c>
      <c r="H57" s="237">
        <f t="shared" si="57"/>
        <v>82</v>
      </c>
      <c r="I57" s="236">
        <v>27</v>
      </c>
      <c r="J57" s="236">
        <v>32</v>
      </c>
      <c r="K57" s="237">
        <f t="shared" si="58"/>
        <v>59</v>
      </c>
      <c r="L57" s="236">
        <v>26</v>
      </c>
      <c r="M57" s="236">
        <v>14</v>
      </c>
      <c r="N57" s="237">
        <f t="shared" si="59"/>
        <v>40</v>
      </c>
      <c r="O57" s="238">
        <f t="shared" si="50"/>
        <v>340</v>
      </c>
      <c r="Q57" s="830"/>
    </row>
    <row r="58" spans="1:17" s="8" customFormat="1" ht="18.95" customHeight="1">
      <c r="A58" s="240">
        <v>6</v>
      </c>
      <c r="B58" s="790" t="s">
        <v>482</v>
      </c>
      <c r="C58" s="236">
        <v>209</v>
      </c>
      <c r="D58" s="236">
        <v>6</v>
      </c>
      <c r="E58" s="237">
        <f t="shared" si="56"/>
        <v>215</v>
      </c>
      <c r="F58" s="236"/>
      <c r="G58" s="236"/>
      <c r="H58" s="237">
        <f t="shared" si="57"/>
        <v>0</v>
      </c>
      <c r="I58" s="236">
        <f>37+11</f>
        <v>48</v>
      </c>
      <c r="J58" s="236">
        <v>4</v>
      </c>
      <c r="K58" s="237">
        <f t="shared" si="58"/>
        <v>52</v>
      </c>
      <c r="L58" s="236">
        <v>13</v>
      </c>
      <c r="M58" s="236"/>
      <c r="N58" s="237">
        <f t="shared" si="59"/>
        <v>13</v>
      </c>
      <c r="O58" s="238">
        <f t="shared" si="50"/>
        <v>280</v>
      </c>
      <c r="Q58" s="830"/>
    </row>
    <row r="59" spans="1:17" s="8" customFormat="1" ht="18.95" customHeight="1">
      <c r="A59" s="240">
        <v>7</v>
      </c>
      <c r="B59" s="790" t="s">
        <v>480</v>
      </c>
      <c r="C59" s="236">
        <f>12+8+6+1</f>
        <v>27</v>
      </c>
      <c r="D59" s="236">
        <f>5+6+1+1</f>
        <v>13</v>
      </c>
      <c r="E59" s="237">
        <f t="shared" si="56"/>
        <v>40</v>
      </c>
      <c r="F59" s="236">
        <f>31+18</f>
        <v>49</v>
      </c>
      <c r="G59" s="236">
        <f>19+29</f>
        <v>48</v>
      </c>
      <c r="H59" s="237">
        <f t="shared" si="57"/>
        <v>97</v>
      </c>
      <c r="I59" s="236">
        <v>9</v>
      </c>
      <c r="J59" s="236">
        <v>6</v>
      </c>
      <c r="K59" s="237">
        <f t="shared" si="58"/>
        <v>15</v>
      </c>
      <c r="L59" s="236"/>
      <c r="M59" s="236"/>
      <c r="N59" s="237">
        <f t="shared" si="59"/>
        <v>0</v>
      </c>
      <c r="O59" s="238">
        <f t="shared" si="50"/>
        <v>152</v>
      </c>
      <c r="Q59" s="830">
        <f t="shared" si="1"/>
        <v>137</v>
      </c>
    </row>
    <row r="60" spans="1:17" s="8" customFormat="1" ht="18.95" customHeight="1">
      <c r="A60" s="240">
        <v>7</v>
      </c>
      <c r="B60" s="520" t="s">
        <v>1172</v>
      </c>
      <c r="C60" s="236">
        <f>33+35+31+24</f>
        <v>123</v>
      </c>
      <c r="D60" s="236">
        <f>7+3+3</f>
        <v>13</v>
      </c>
      <c r="E60" s="237">
        <f t="shared" si="56"/>
        <v>136</v>
      </c>
      <c r="F60" s="236"/>
      <c r="G60" s="236"/>
      <c r="H60" s="237">
        <f t="shared" si="57"/>
        <v>0</v>
      </c>
      <c r="I60" s="236"/>
      <c r="J60" s="236"/>
      <c r="K60" s="237">
        <f t="shared" si="58"/>
        <v>0</v>
      </c>
      <c r="L60" s="236"/>
      <c r="M60" s="236"/>
      <c r="N60" s="237">
        <f t="shared" ref="N60" si="60">L60+M60</f>
        <v>0</v>
      </c>
      <c r="O60" s="238">
        <f t="shared" ref="O60" si="61">+E60+H60+K60+N60</f>
        <v>136</v>
      </c>
      <c r="Q60" s="830">
        <f t="shared" si="1"/>
        <v>136</v>
      </c>
    </row>
    <row r="61" spans="1:17" s="8" customFormat="1" ht="28.5">
      <c r="A61" s="240">
        <v>8</v>
      </c>
      <c r="B61" s="790" t="s">
        <v>1155</v>
      </c>
      <c r="C61" s="236">
        <f>27+31+26+25</f>
        <v>109</v>
      </c>
      <c r="D61" s="236">
        <f>16+22+22+20</f>
        <v>80</v>
      </c>
      <c r="E61" s="237">
        <f t="shared" si="56"/>
        <v>189</v>
      </c>
      <c r="F61" s="236">
        <v>70</v>
      </c>
      <c r="G61" s="236">
        <v>74</v>
      </c>
      <c r="H61" s="237">
        <f t="shared" si="57"/>
        <v>144</v>
      </c>
      <c r="I61" s="236">
        <v>96</v>
      </c>
      <c r="J61" s="236">
        <v>91</v>
      </c>
      <c r="K61" s="237">
        <f t="shared" si="58"/>
        <v>187</v>
      </c>
      <c r="L61" s="236">
        <v>38</v>
      </c>
      <c r="M61" s="236">
        <v>19</v>
      </c>
      <c r="N61" s="237">
        <f t="shared" si="59"/>
        <v>57</v>
      </c>
      <c r="O61" s="238">
        <f t="shared" si="50"/>
        <v>577</v>
      </c>
      <c r="Q61" s="830">
        <f t="shared" si="1"/>
        <v>333</v>
      </c>
    </row>
    <row r="62" spans="1:17" s="8" customFormat="1" ht="15">
      <c r="A62" s="240">
        <v>9</v>
      </c>
      <c r="B62" s="520" t="s">
        <v>548</v>
      </c>
      <c r="C62" s="236">
        <v>136</v>
      </c>
      <c r="D62" s="236">
        <v>50</v>
      </c>
      <c r="E62" s="237">
        <f t="shared" si="56"/>
        <v>186</v>
      </c>
      <c r="F62" s="236"/>
      <c r="G62" s="236"/>
      <c r="H62" s="237">
        <f t="shared" si="57"/>
        <v>0</v>
      </c>
      <c r="I62" s="236">
        <v>26</v>
      </c>
      <c r="J62" s="236">
        <v>17</v>
      </c>
      <c r="K62" s="237">
        <f t="shared" si="58"/>
        <v>43</v>
      </c>
      <c r="L62" s="236">
        <v>27</v>
      </c>
      <c r="M62" s="236">
        <v>13</v>
      </c>
      <c r="N62" s="237">
        <f t="shared" si="59"/>
        <v>40</v>
      </c>
      <c r="O62" s="238">
        <f>+E62+H62+K62+N62</f>
        <v>269</v>
      </c>
      <c r="Q62" s="830">
        <f t="shared" si="1"/>
        <v>186</v>
      </c>
    </row>
    <row r="63" spans="1:17" s="8" customFormat="1" ht="28.5">
      <c r="A63" s="240">
        <v>10</v>
      </c>
      <c r="B63" s="520" t="s">
        <v>1156</v>
      </c>
      <c r="C63" s="236">
        <v>138</v>
      </c>
      <c r="D63" s="236">
        <v>4</v>
      </c>
      <c r="E63" s="237">
        <f t="shared" si="56"/>
        <v>142</v>
      </c>
      <c r="F63" s="236"/>
      <c r="G63" s="236"/>
      <c r="H63" s="237">
        <f t="shared" si="57"/>
        <v>0</v>
      </c>
      <c r="I63" s="236">
        <v>14</v>
      </c>
      <c r="J63" s="236">
        <v>2</v>
      </c>
      <c r="K63" s="237">
        <f t="shared" si="58"/>
        <v>16</v>
      </c>
      <c r="L63" s="236">
        <v>7</v>
      </c>
      <c r="M63" s="236">
        <v>1</v>
      </c>
      <c r="N63" s="237">
        <f t="shared" si="59"/>
        <v>8</v>
      </c>
      <c r="O63" s="238">
        <f t="shared" ref="O63:O65" si="62">+E63+H63+K63+N63</f>
        <v>166</v>
      </c>
      <c r="Q63" s="830">
        <f t="shared" si="1"/>
        <v>142</v>
      </c>
    </row>
    <row r="64" spans="1:17" s="8" customFormat="1" ht="15">
      <c r="A64" s="240">
        <v>11</v>
      </c>
      <c r="B64" s="520" t="s">
        <v>1144</v>
      </c>
      <c r="C64" s="236"/>
      <c r="D64" s="236">
        <f>65+50+44</f>
        <v>159</v>
      </c>
      <c r="E64" s="237">
        <f t="shared" ref="E64" si="63">C64+D64</f>
        <v>159</v>
      </c>
      <c r="F64" s="236"/>
      <c r="G64" s="236"/>
      <c r="H64" s="237">
        <f t="shared" ref="H64" si="64">F64+G64</f>
        <v>0</v>
      </c>
      <c r="I64" s="236"/>
      <c r="J64" s="236"/>
      <c r="K64" s="237">
        <f t="shared" ref="K64" si="65">I64+J64</f>
        <v>0</v>
      </c>
      <c r="L64" s="236"/>
      <c r="M64" s="236"/>
      <c r="N64" s="237">
        <f t="shared" ref="N64" si="66">L64+M64</f>
        <v>0</v>
      </c>
      <c r="O64" s="238">
        <f t="shared" ref="O64" si="67">+E64+H64+K64+N64</f>
        <v>159</v>
      </c>
      <c r="Q64" s="830">
        <f t="shared" si="1"/>
        <v>159</v>
      </c>
    </row>
    <row r="65" spans="1:17" s="8" customFormat="1" ht="18.95" customHeight="1">
      <c r="A65" s="240">
        <v>12</v>
      </c>
      <c r="B65" s="790" t="s">
        <v>552</v>
      </c>
      <c r="C65" s="236">
        <v>87</v>
      </c>
      <c r="D65" s="236">
        <v>112</v>
      </c>
      <c r="E65" s="237">
        <f t="shared" si="56"/>
        <v>199</v>
      </c>
      <c r="F65" s="236">
        <v>45</v>
      </c>
      <c r="G65" s="236">
        <v>53</v>
      </c>
      <c r="H65" s="237">
        <f t="shared" si="57"/>
        <v>98</v>
      </c>
      <c r="I65" s="236">
        <v>57</v>
      </c>
      <c r="J65" s="236">
        <v>32</v>
      </c>
      <c r="K65" s="237">
        <f t="shared" si="58"/>
        <v>89</v>
      </c>
      <c r="L65" s="236">
        <v>27</v>
      </c>
      <c r="M65" s="236">
        <v>15</v>
      </c>
      <c r="N65" s="237">
        <f t="shared" si="59"/>
        <v>42</v>
      </c>
      <c r="O65" s="238">
        <f t="shared" si="62"/>
        <v>428</v>
      </c>
      <c r="Q65" s="830">
        <f t="shared" si="1"/>
        <v>297</v>
      </c>
    </row>
    <row r="66" spans="1:17" ht="20.100000000000001" customHeight="1">
      <c r="A66" s="1512" t="s">
        <v>893</v>
      </c>
      <c r="B66" s="1513"/>
      <c r="C66" s="244">
        <f>SUM(C52:C65)</f>
        <v>1279</v>
      </c>
      <c r="D66" s="245">
        <f>SUM(D52:D65)</f>
        <v>774</v>
      </c>
      <c r="E66" s="30">
        <f>C66+D66</f>
        <v>2053</v>
      </c>
      <c r="F66" s="244">
        <f>SUM(F52:F65)</f>
        <v>249</v>
      </c>
      <c r="G66" s="245">
        <f>SUM(G52:G65)</f>
        <v>292</v>
      </c>
      <c r="H66" s="30">
        <f>F66+G66</f>
        <v>541</v>
      </c>
      <c r="I66" s="244">
        <f>SUM(I52:I65)</f>
        <v>386</v>
      </c>
      <c r="J66" s="245">
        <f>SUM(J52:J65)</f>
        <v>263</v>
      </c>
      <c r="K66" s="30">
        <f>I66+J66</f>
        <v>649</v>
      </c>
      <c r="L66" s="244">
        <f>SUM(L52:L65)</f>
        <v>190</v>
      </c>
      <c r="M66" s="245">
        <f>SUM(M52:M65)</f>
        <v>106</v>
      </c>
      <c r="N66" s="30">
        <f>L66+M66</f>
        <v>296</v>
      </c>
      <c r="O66" s="250">
        <f>E66+H66+K66+N66</f>
        <v>3539</v>
      </c>
      <c r="Q66" s="830"/>
    </row>
    <row r="67" spans="1:17" ht="20.100000000000001" customHeight="1">
      <c r="A67" s="1518" t="s">
        <v>1157</v>
      </c>
      <c r="B67" s="1518"/>
      <c r="C67" s="1518"/>
      <c r="D67" s="1518"/>
      <c r="E67" s="1518"/>
      <c r="F67" s="1518"/>
      <c r="G67" s="1518"/>
      <c r="H67" s="1518"/>
      <c r="I67" s="1518"/>
      <c r="J67" s="1518"/>
      <c r="K67" s="1518"/>
      <c r="L67" s="1518"/>
      <c r="M67" s="1518"/>
      <c r="N67" s="1518"/>
      <c r="O67" s="1518"/>
      <c r="Q67" s="830">
        <f t="shared" si="1"/>
        <v>0</v>
      </c>
    </row>
    <row r="68" spans="1:17" ht="28.5">
      <c r="A68" s="239">
        <v>1</v>
      </c>
      <c r="B68" s="790" t="s">
        <v>1158</v>
      </c>
      <c r="C68" s="25"/>
      <c r="D68" s="25">
        <f>120+308</f>
        <v>428</v>
      </c>
      <c r="E68" s="234">
        <f t="shared" ref="E68:E74" si="68">C68+D68</f>
        <v>428</v>
      </c>
      <c r="F68" s="25"/>
      <c r="G68" s="25">
        <v>81</v>
      </c>
      <c r="H68" s="234">
        <f t="shared" ref="H68:H74" si="69">F68+G68</f>
        <v>81</v>
      </c>
      <c r="I68" s="25"/>
      <c r="J68" s="25">
        <v>43</v>
      </c>
      <c r="K68" s="234">
        <f t="shared" ref="K68:K74" si="70">I68+J68</f>
        <v>43</v>
      </c>
      <c r="L68" s="25"/>
      <c r="M68" s="25">
        <v>10</v>
      </c>
      <c r="N68" s="234">
        <f t="shared" ref="N68:N74" si="71">L68+M68</f>
        <v>10</v>
      </c>
      <c r="O68" s="26">
        <f t="shared" ref="O68:O73" si="72">+E68+H68+K68+N68</f>
        <v>562</v>
      </c>
      <c r="Q68" s="830"/>
    </row>
    <row r="69" spans="1:17" ht="28.5">
      <c r="A69" s="240">
        <v>2</v>
      </c>
      <c r="B69" s="790" t="s">
        <v>1159</v>
      </c>
      <c r="C69" s="236">
        <v>247</v>
      </c>
      <c r="D69" s="236">
        <v>94</v>
      </c>
      <c r="E69" s="237">
        <f t="shared" si="68"/>
        <v>341</v>
      </c>
      <c r="F69" s="236">
        <v>175</v>
      </c>
      <c r="G69" s="236">
        <v>35</v>
      </c>
      <c r="H69" s="237">
        <f t="shared" si="69"/>
        <v>210</v>
      </c>
      <c r="I69" s="236">
        <v>19</v>
      </c>
      <c r="J69" s="236">
        <v>11</v>
      </c>
      <c r="K69" s="237">
        <f t="shared" si="70"/>
        <v>30</v>
      </c>
      <c r="L69" s="236">
        <v>26</v>
      </c>
      <c r="M69" s="236">
        <v>2</v>
      </c>
      <c r="N69" s="237">
        <f t="shared" si="71"/>
        <v>28</v>
      </c>
      <c r="O69" s="26">
        <f t="shared" si="72"/>
        <v>609</v>
      </c>
      <c r="Q69" s="830"/>
    </row>
    <row r="70" spans="1:17" ht="28.5">
      <c r="A70" s="240">
        <v>3</v>
      </c>
      <c r="B70" s="790" t="s">
        <v>1160</v>
      </c>
      <c r="C70" s="236"/>
      <c r="D70" s="236"/>
      <c r="E70" s="237">
        <f t="shared" si="68"/>
        <v>0</v>
      </c>
      <c r="F70" s="236">
        <v>77</v>
      </c>
      <c r="G70" s="236">
        <v>24</v>
      </c>
      <c r="H70" s="237">
        <f t="shared" si="69"/>
        <v>101</v>
      </c>
      <c r="I70" s="236">
        <v>25</v>
      </c>
      <c r="J70" s="236">
        <v>8</v>
      </c>
      <c r="K70" s="237">
        <f t="shared" si="70"/>
        <v>33</v>
      </c>
      <c r="L70" s="236">
        <f>14+4</f>
        <v>18</v>
      </c>
      <c r="M70" s="236"/>
      <c r="N70" s="237">
        <f t="shared" si="71"/>
        <v>18</v>
      </c>
      <c r="O70" s="26">
        <f t="shared" si="72"/>
        <v>152</v>
      </c>
      <c r="Q70" s="830">
        <f t="shared" si="1"/>
        <v>101</v>
      </c>
    </row>
    <row r="71" spans="1:17" ht="28.5">
      <c r="A71" s="240">
        <v>4</v>
      </c>
      <c r="B71" s="790" t="s">
        <v>1161</v>
      </c>
      <c r="C71" s="236"/>
      <c r="D71" s="236"/>
      <c r="E71" s="237">
        <f t="shared" si="68"/>
        <v>0</v>
      </c>
      <c r="F71" s="236">
        <v>64</v>
      </c>
      <c r="G71" s="236">
        <v>45</v>
      </c>
      <c r="H71" s="237">
        <f t="shared" si="69"/>
        <v>109</v>
      </c>
      <c r="I71" s="236">
        <v>15</v>
      </c>
      <c r="J71" s="236">
        <v>5</v>
      </c>
      <c r="K71" s="237">
        <f t="shared" si="70"/>
        <v>20</v>
      </c>
      <c r="L71" s="236"/>
      <c r="M71" s="236"/>
      <c r="N71" s="237">
        <f t="shared" si="71"/>
        <v>0</v>
      </c>
      <c r="O71" s="26">
        <f t="shared" si="72"/>
        <v>129</v>
      </c>
      <c r="Q71" s="830">
        <f t="shared" si="1"/>
        <v>109</v>
      </c>
    </row>
    <row r="72" spans="1:17" ht="28.5">
      <c r="A72" s="240">
        <v>5</v>
      </c>
      <c r="B72" s="790" t="s">
        <v>1162</v>
      </c>
      <c r="C72" s="236">
        <f>61+54+65+24</f>
        <v>204</v>
      </c>
      <c r="D72" s="236">
        <f>7+9+5+1</f>
        <v>22</v>
      </c>
      <c r="E72" s="237">
        <f t="shared" si="68"/>
        <v>226</v>
      </c>
      <c r="F72" s="236">
        <f>65+50</f>
        <v>115</v>
      </c>
      <c r="G72" s="236">
        <f>3+9</f>
        <v>12</v>
      </c>
      <c r="H72" s="237">
        <f t="shared" si="69"/>
        <v>127</v>
      </c>
      <c r="I72" s="236"/>
      <c r="J72" s="236"/>
      <c r="K72" s="237">
        <f t="shared" si="70"/>
        <v>0</v>
      </c>
      <c r="L72" s="236"/>
      <c r="M72" s="236"/>
      <c r="N72" s="237">
        <f t="shared" si="71"/>
        <v>0</v>
      </c>
      <c r="O72" s="26">
        <f t="shared" si="72"/>
        <v>353</v>
      </c>
      <c r="Q72" s="830">
        <f t="shared" si="1"/>
        <v>353</v>
      </c>
    </row>
    <row r="73" spans="1:17" ht="20.100000000000001" customHeight="1">
      <c r="A73" s="269">
        <v>6</v>
      </c>
      <c r="B73" s="243"/>
      <c r="C73" s="235"/>
      <c r="D73" s="235"/>
      <c r="E73" s="196">
        <f t="shared" si="68"/>
        <v>0</v>
      </c>
      <c r="F73" s="235"/>
      <c r="G73" s="235"/>
      <c r="H73" s="196">
        <f t="shared" si="69"/>
        <v>0</v>
      </c>
      <c r="I73" s="235"/>
      <c r="J73" s="235"/>
      <c r="K73" s="196">
        <f t="shared" si="70"/>
        <v>0</v>
      </c>
      <c r="L73" s="235"/>
      <c r="M73" s="235"/>
      <c r="N73" s="196">
        <f t="shared" si="71"/>
        <v>0</v>
      </c>
      <c r="O73" s="26">
        <f t="shared" si="72"/>
        <v>0</v>
      </c>
      <c r="Q73" s="830">
        <f t="shared" si="1"/>
        <v>0</v>
      </c>
    </row>
    <row r="74" spans="1:17" ht="20.100000000000001" customHeight="1">
      <c r="A74" s="1512" t="s">
        <v>893</v>
      </c>
      <c r="B74" s="1513"/>
      <c r="C74" s="244">
        <f>SUM(C68:C72)</f>
        <v>451</v>
      </c>
      <c r="D74" s="245">
        <f>SUM(D68:D72)</f>
        <v>544</v>
      </c>
      <c r="E74" s="30">
        <f t="shared" si="68"/>
        <v>995</v>
      </c>
      <c r="F74" s="244">
        <f>SUM(F68:F72)</f>
        <v>431</v>
      </c>
      <c r="G74" s="245">
        <f>SUM(G68:G72)</f>
        <v>197</v>
      </c>
      <c r="H74" s="30">
        <f t="shared" si="69"/>
        <v>628</v>
      </c>
      <c r="I74" s="244">
        <f>SUM(I68:I72)</f>
        <v>59</v>
      </c>
      <c r="J74" s="245">
        <f>SUM(J68:J72)</f>
        <v>67</v>
      </c>
      <c r="K74" s="30">
        <f t="shared" si="70"/>
        <v>126</v>
      </c>
      <c r="L74" s="244">
        <f>SUM(L68:L72)</f>
        <v>44</v>
      </c>
      <c r="M74" s="245">
        <f>SUM(M68:M72)</f>
        <v>12</v>
      </c>
      <c r="N74" s="30">
        <f t="shared" si="71"/>
        <v>56</v>
      </c>
      <c r="O74" s="250">
        <f>E74+H74+K74+N74</f>
        <v>1805</v>
      </c>
      <c r="Q74" s="830">
        <f>SUM(Q10:Q73)</f>
        <v>7420</v>
      </c>
    </row>
    <row r="75" spans="1:17" ht="20.100000000000001" customHeight="1">
      <c r="A75" s="518"/>
      <c r="B75" s="519"/>
      <c r="C75" s="525"/>
      <c r="D75" s="526"/>
      <c r="E75" s="527"/>
      <c r="F75" s="526"/>
      <c r="G75" s="526"/>
      <c r="H75" s="527"/>
      <c r="I75" s="526"/>
      <c r="J75" s="526"/>
      <c r="K75" s="527"/>
      <c r="L75" s="526"/>
      <c r="M75" s="526"/>
      <c r="N75" s="527"/>
      <c r="O75" s="528"/>
    </row>
    <row r="76" spans="1:17" ht="20.100000000000001" customHeight="1">
      <c r="A76" s="1517" t="s">
        <v>878</v>
      </c>
      <c r="B76" s="1517"/>
      <c r="C76" s="1497" t="s">
        <v>1103</v>
      </c>
      <c r="D76" s="1498"/>
      <c r="E76" s="1498"/>
      <c r="F76" s="1498"/>
      <c r="G76" s="1498"/>
      <c r="H76" s="1498"/>
      <c r="I76" s="1499"/>
      <c r="J76" s="1499"/>
      <c r="K76" s="1499"/>
      <c r="L76" s="1499"/>
      <c r="M76" s="1499"/>
      <c r="N76" s="1499"/>
      <c r="O76" s="1500"/>
    </row>
    <row r="77" spans="1:17" ht="20.100000000000001" customHeight="1">
      <c r="A77" s="1517"/>
      <c r="B77" s="1517"/>
      <c r="C77" s="1501" t="s">
        <v>154</v>
      </c>
      <c r="D77" s="1502" t="s">
        <v>155</v>
      </c>
      <c r="E77" s="1503"/>
      <c r="F77" s="1504" t="s">
        <v>156</v>
      </c>
      <c r="G77" s="1505"/>
      <c r="H77" s="1506"/>
      <c r="I77" s="1507" t="s">
        <v>157</v>
      </c>
      <c r="J77" s="1508"/>
      <c r="K77" s="1509"/>
      <c r="L77" s="1501" t="s">
        <v>136</v>
      </c>
      <c r="M77" s="1502"/>
      <c r="N77" s="1503"/>
      <c r="O77" s="1510" t="s">
        <v>138</v>
      </c>
    </row>
    <row r="78" spans="1:17" ht="43.5" customHeight="1">
      <c r="A78" s="1517"/>
      <c r="B78" s="1517"/>
      <c r="C78" s="229" t="s">
        <v>140</v>
      </c>
      <c r="D78" s="230" t="s">
        <v>141</v>
      </c>
      <c r="E78" s="24" t="s">
        <v>138</v>
      </c>
      <c r="F78" s="229" t="s">
        <v>140</v>
      </c>
      <c r="G78" s="230" t="s">
        <v>141</v>
      </c>
      <c r="H78" s="24" t="s">
        <v>138</v>
      </c>
      <c r="I78" s="229" t="s">
        <v>140</v>
      </c>
      <c r="J78" s="230" t="s">
        <v>141</v>
      </c>
      <c r="K78" s="24" t="s">
        <v>138</v>
      </c>
      <c r="L78" s="229" t="s">
        <v>140</v>
      </c>
      <c r="M78" s="230" t="s">
        <v>141</v>
      </c>
      <c r="N78" s="24" t="s">
        <v>138</v>
      </c>
      <c r="O78" s="1511"/>
    </row>
    <row r="79" spans="1:17" ht="20.100000000000001" customHeight="1">
      <c r="A79" s="1476" t="s">
        <v>879</v>
      </c>
      <c r="B79" s="1478"/>
      <c r="C79" s="27"/>
      <c r="D79" s="27"/>
      <c r="E79" s="28"/>
      <c r="F79" s="27"/>
      <c r="G79" s="27"/>
      <c r="H79" s="28"/>
      <c r="I79" s="27"/>
      <c r="J79" s="27"/>
      <c r="K79" s="28"/>
      <c r="L79" s="27"/>
      <c r="M79" s="27"/>
      <c r="N79" s="28"/>
      <c r="O79" s="27"/>
    </row>
    <row r="80" spans="1:17" s="8" customFormat="1" ht="20.100000000000001" customHeight="1">
      <c r="A80" s="239">
        <v>1</v>
      </c>
      <c r="B80" s="241"/>
      <c r="C80" s="25"/>
      <c r="D80" s="25"/>
      <c r="E80" s="234">
        <f>C80+D80</f>
        <v>0</v>
      </c>
      <c r="F80" s="25"/>
      <c r="G80" s="25"/>
      <c r="H80" s="234">
        <f>F80+G80</f>
        <v>0</v>
      </c>
      <c r="I80" s="25"/>
      <c r="J80" s="25"/>
      <c r="K80" s="234">
        <f>I80+J80</f>
        <v>0</v>
      </c>
      <c r="L80" s="25"/>
      <c r="M80" s="25"/>
      <c r="N80" s="234">
        <f>L80+M80</f>
        <v>0</v>
      </c>
      <c r="O80" s="26">
        <f>M80+N80</f>
        <v>0</v>
      </c>
    </row>
    <row r="81" spans="1:15" s="8" customFormat="1" ht="20.100000000000001" customHeight="1">
      <c r="A81" s="240">
        <v>2</v>
      </c>
      <c r="B81" s="242"/>
      <c r="C81" s="236"/>
      <c r="D81" s="236"/>
      <c r="E81" s="237">
        <f>C81+D81</f>
        <v>0</v>
      </c>
      <c r="F81" s="236"/>
      <c r="G81" s="236"/>
      <c r="H81" s="237">
        <f>F81+G81</f>
        <v>0</v>
      </c>
      <c r="I81" s="236"/>
      <c r="J81" s="236"/>
      <c r="K81" s="237">
        <f>I81+J81</f>
        <v>0</v>
      </c>
      <c r="L81" s="236"/>
      <c r="M81" s="236"/>
      <c r="N81" s="237">
        <f>L81+M81</f>
        <v>0</v>
      </c>
      <c r="O81" s="238">
        <f>M81+N81</f>
        <v>0</v>
      </c>
    </row>
    <row r="82" spans="1:15" s="8" customFormat="1" ht="20.100000000000001" customHeight="1">
      <c r="A82" s="240">
        <v>3</v>
      </c>
      <c r="B82" s="242"/>
      <c r="C82" s="236"/>
      <c r="D82" s="236"/>
      <c r="E82" s="237">
        <f t="shared" ref="E82:E85" si="73">C82+D82</f>
        <v>0</v>
      </c>
      <c r="F82" s="236"/>
      <c r="G82" s="236"/>
      <c r="H82" s="237">
        <f t="shared" ref="H82:H85" si="74">F82+G82</f>
        <v>0</v>
      </c>
      <c r="I82" s="236"/>
      <c r="J82" s="236"/>
      <c r="K82" s="237">
        <f t="shared" ref="K82:K85" si="75">I82+J82</f>
        <v>0</v>
      </c>
      <c r="L82" s="236"/>
      <c r="M82" s="236"/>
      <c r="N82" s="237">
        <f t="shared" ref="N82:N85" si="76">L82+M82</f>
        <v>0</v>
      </c>
      <c r="O82" s="238">
        <f t="shared" ref="O82:O85" si="77">M82+N82</f>
        <v>0</v>
      </c>
    </row>
    <row r="83" spans="1:15" s="8" customFormat="1" ht="20.100000000000001" customHeight="1">
      <c r="A83" s="240">
        <v>4</v>
      </c>
      <c r="B83" s="242"/>
      <c r="C83" s="236"/>
      <c r="D83" s="236"/>
      <c r="E83" s="237">
        <f t="shared" si="73"/>
        <v>0</v>
      </c>
      <c r="F83" s="236"/>
      <c r="G83" s="236"/>
      <c r="H83" s="237">
        <f t="shared" si="74"/>
        <v>0</v>
      </c>
      <c r="I83" s="236"/>
      <c r="J83" s="236"/>
      <c r="K83" s="237">
        <f t="shared" si="75"/>
        <v>0</v>
      </c>
      <c r="L83" s="236"/>
      <c r="M83" s="236"/>
      <c r="N83" s="237">
        <f t="shared" si="76"/>
        <v>0</v>
      </c>
      <c r="O83" s="238">
        <f t="shared" si="77"/>
        <v>0</v>
      </c>
    </row>
    <row r="84" spans="1:15" s="8" customFormat="1" ht="20.100000000000001" customHeight="1">
      <c r="A84" s="240">
        <v>5</v>
      </c>
      <c r="B84" s="242"/>
      <c r="C84" s="236"/>
      <c r="D84" s="236"/>
      <c r="E84" s="237">
        <f t="shared" si="73"/>
        <v>0</v>
      </c>
      <c r="F84" s="236"/>
      <c r="G84" s="236"/>
      <c r="H84" s="237">
        <f t="shared" si="74"/>
        <v>0</v>
      </c>
      <c r="I84" s="236"/>
      <c r="J84" s="236"/>
      <c r="K84" s="237">
        <f t="shared" si="75"/>
        <v>0</v>
      </c>
      <c r="L84" s="236"/>
      <c r="M84" s="236"/>
      <c r="N84" s="237">
        <f t="shared" si="76"/>
        <v>0</v>
      </c>
      <c r="O84" s="238">
        <f t="shared" si="77"/>
        <v>0</v>
      </c>
    </row>
    <row r="85" spans="1:15" s="8" customFormat="1" ht="20.100000000000001" customHeight="1">
      <c r="A85" s="269">
        <v>6</v>
      </c>
      <c r="B85" s="243"/>
      <c r="C85" s="235"/>
      <c r="D85" s="235"/>
      <c r="E85" s="196">
        <f t="shared" si="73"/>
        <v>0</v>
      </c>
      <c r="F85" s="235"/>
      <c r="G85" s="235"/>
      <c r="H85" s="196">
        <f t="shared" si="74"/>
        <v>0</v>
      </c>
      <c r="I85" s="235"/>
      <c r="J85" s="235"/>
      <c r="K85" s="196">
        <f t="shared" si="75"/>
        <v>0</v>
      </c>
      <c r="L85" s="235"/>
      <c r="M85" s="235"/>
      <c r="N85" s="196">
        <f t="shared" si="76"/>
        <v>0</v>
      </c>
      <c r="O85" s="29">
        <f t="shared" si="77"/>
        <v>0</v>
      </c>
    </row>
    <row r="86" spans="1:15" ht="20.100000000000001" customHeight="1">
      <c r="A86" s="1512" t="s">
        <v>893</v>
      </c>
      <c r="B86" s="1513"/>
      <c r="C86" s="231">
        <f>SUM(C80:C84)</f>
        <v>0</v>
      </c>
      <c r="D86" s="232">
        <f>SUM(D80:D84)</f>
        <v>0</v>
      </c>
      <c r="E86" s="233">
        <f>C86+D86</f>
        <v>0</v>
      </c>
      <c r="F86" s="231">
        <f>SUM(F80:F84)</f>
        <v>0</v>
      </c>
      <c r="G86" s="232">
        <f>SUM(G80:G84)</f>
        <v>0</v>
      </c>
      <c r="H86" s="233">
        <f>F86+G86</f>
        <v>0</v>
      </c>
      <c r="I86" s="231">
        <f>SUM(I80:I84)</f>
        <v>0</v>
      </c>
      <c r="J86" s="232">
        <f>SUM(J80:J84)</f>
        <v>0</v>
      </c>
      <c r="K86" s="233">
        <f>I86+J86</f>
        <v>0</v>
      </c>
      <c r="L86" s="231">
        <f>SUM(L80:L84)</f>
        <v>0</v>
      </c>
      <c r="M86" s="232">
        <f>SUM(M80:M84)</f>
        <v>0</v>
      </c>
      <c r="N86" s="233">
        <f>L86+M86</f>
        <v>0</v>
      </c>
      <c r="O86" s="249">
        <f>E86+H86+K86+N86</f>
        <v>0</v>
      </c>
    </row>
    <row r="87" spans="1:15" ht="20.100000000000001" customHeight="1">
      <c r="A87" s="1476" t="s">
        <v>149</v>
      </c>
      <c r="B87" s="1478"/>
      <c r="C87" s="27"/>
      <c r="D87" s="27"/>
      <c r="E87" s="28"/>
      <c r="F87" s="27"/>
      <c r="G87" s="27"/>
      <c r="H87" s="28"/>
      <c r="I87" s="27"/>
      <c r="J87" s="27"/>
      <c r="K87" s="28"/>
      <c r="L87" s="27"/>
      <c r="M87" s="27"/>
      <c r="N87" s="28"/>
      <c r="O87" s="27"/>
    </row>
    <row r="88" spans="1:15" s="8" customFormat="1" ht="20.100000000000001" customHeight="1">
      <c r="A88" s="239">
        <v>1</v>
      </c>
      <c r="B88" s="241"/>
      <c r="C88" s="25"/>
      <c r="D88" s="25"/>
      <c r="E88" s="234">
        <f>C88+D88</f>
        <v>0</v>
      </c>
      <c r="F88" s="25"/>
      <c r="G88" s="25"/>
      <c r="H88" s="234">
        <f>F88+G88</f>
        <v>0</v>
      </c>
      <c r="I88" s="25"/>
      <c r="J88" s="25"/>
      <c r="K88" s="234">
        <f>I88+J88</f>
        <v>0</v>
      </c>
      <c r="L88" s="25"/>
      <c r="M88" s="25"/>
      <c r="N88" s="234">
        <f>L88+M88</f>
        <v>0</v>
      </c>
      <c r="O88" s="26">
        <f>M88+N88</f>
        <v>0</v>
      </c>
    </row>
    <row r="89" spans="1:15" s="8" customFormat="1" ht="20.100000000000001" customHeight="1">
      <c r="A89" s="240">
        <v>2</v>
      </c>
      <c r="B89" s="242"/>
      <c r="C89" s="236"/>
      <c r="D89" s="236"/>
      <c r="E89" s="237">
        <f>C89+D89</f>
        <v>0</v>
      </c>
      <c r="F89" s="236"/>
      <c r="G89" s="236"/>
      <c r="H89" s="237">
        <f>F89+G89</f>
        <v>0</v>
      </c>
      <c r="I89" s="236"/>
      <c r="J89" s="236"/>
      <c r="K89" s="237">
        <f>I89+J89</f>
        <v>0</v>
      </c>
      <c r="L89" s="236"/>
      <c r="M89" s="236"/>
      <c r="N89" s="237">
        <f>L89+M89</f>
        <v>0</v>
      </c>
      <c r="O89" s="238">
        <f>M89+N89</f>
        <v>0</v>
      </c>
    </row>
    <row r="90" spans="1:15" s="8" customFormat="1" ht="20.100000000000001" customHeight="1">
      <c r="A90" s="240">
        <v>3</v>
      </c>
      <c r="B90" s="242"/>
      <c r="C90" s="236"/>
      <c r="D90" s="236"/>
      <c r="E90" s="237">
        <f t="shared" ref="E90:E93" si="78">C90+D90</f>
        <v>0</v>
      </c>
      <c r="F90" s="236"/>
      <c r="G90" s="236"/>
      <c r="H90" s="237">
        <f t="shared" ref="H90:H93" si="79">F90+G90</f>
        <v>0</v>
      </c>
      <c r="I90" s="236"/>
      <c r="J90" s="236"/>
      <c r="K90" s="237">
        <f t="shared" ref="K90:K93" si="80">I90+J90</f>
        <v>0</v>
      </c>
      <c r="L90" s="236"/>
      <c r="M90" s="236"/>
      <c r="N90" s="237">
        <f t="shared" ref="N90:O93" si="81">L90+M90</f>
        <v>0</v>
      </c>
      <c r="O90" s="238">
        <f t="shared" si="81"/>
        <v>0</v>
      </c>
    </row>
    <row r="91" spans="1:15" s="8" customFormat="1" ht="20.100000000000001" customHeight="1">
      <c r="A91" s="240">
        <v>4</v>
      </c>
      <c r="B91" s="242"/>
      <c r="C91" s="236"/>
      <c r="D91" s="236"/>
      <c r="E91" s="237">
        <f t="shared" si="78"/>
        <v>0</v>
      </c>
      <c r="F91" s="236"/>
      <c r="G91" s="236"/>
      <c r="H91" s="237">
        <f t="shared" si="79"/>
        <v>0</v>
      </c>
      <c r="I91" s="236"/>
      <c r="J91" s="236"/>
      <c r="K91" s="237">
        <f t="shared" si="80"/>
        <v>0</v>
      </c>
      <c r="L91" s="236"/>
      <c r="M91" s="236"/>
      <c r="N91" s="237">
        <f t="shared" si="81"/>
        <v>0</v>
      </c>
      <c r="O91" s="238">
        <f t="shared" si="81"/>
        <v>0</v>
      </c>
    </row>
    <row r="92" spans="1:15" s="8" customFormat="1" ht="20.100000000000001" customHeight="1">
      <c r="A92" s="240">
        <v>5</v>
      </c>
      <c r="B92" s="242"/>
      <c r="C92" s="236"/>
      <c r="D92" s="236"/>
      <c r="E92" s="237">
        <f t="shared" si="78"/>
        <v>0</v>
      </c>
      <c r="F92" s="236"/>
      <c r="G92" s="236"/>
      <c r="H92" s="237">
        <f t="shared" si="79"/>
        <v>0</v>
      </c>
      <c r="I92" s="236"/>
      <c r="J92" s="236"/>
      <c r="K92" s="237">
        <f t="shared" si="80"/>
        <v>0</v>
      </c>
      <c r="L92" s="236"/>
      <c r="M92" s="236"/>
      <c r="N92" s="237">
        <f t="shared" si="81"/>
        <v>0</v>
      </c>
      <c r="O92" s="238">
        <f t="shared" si="81"/>
        <v>0</v>
      </c>
    </row>
    <row r="93" spans="1:15" s="8" customFormat="1" ht="20.100000000000001" customHeight="1">
      <c r="A93" s="269">
        <v>6</v>
      </c>
      <c r="B93" s="243"/>
      <c r="C93" s="235"/>
      <c r="D93" s="235"/>
      <c r="E93" s="196">
        <f t="shared" si="78"/>
        <v>0</v>
      </c>
      <c r="F93" s="235"/>
      <c r="G93" s="235"/>
      <c r="H93" s="196">
        <f t="shared" si="79"/>
        <v>0</v>
      </c>
      <c r="I93" s="235"/>
      <c r="J93" s="235"/>
      <c r="K93" s="196">
        <f t="shared" si="80"/>
        <v>0</v>
      </c>
      <c r="L93" s="235"/>
      <c r="M93" s="235"/>
      <c r="N93" s="196">
        <f t="shared" si="81"/>
        <v>0</v>
      </c>
      <c r="O93" s="29">
        <f t="shared" si="81"/>
        <v>0</v>
      </c>
    </row>
    <row r="94" spans="1:15" ht="20.100000000000001" customHeight="1">
      <c r="A94" s="1512" t="s">
        <v>893</v>
      </c>
      <c r="B94" s="1513"/>
      <c r="C94" s="231">
        <f>SUM(C88:C92)</f>
        <v>0</v>
      </c>
      <c r="D94" s="232">
        <f>SUM(D88:D92)</f>
        <v>0</v>
      </c>
      <c r="E94" s="233">
        <f>C94+D94</f>
        <v>0</v>
      </c>
      <c r="F94" s="231">
        <f>SUM(F88:F92)</f>
        <v>0</v>
      </c>
      <c r="G94" s="232">
        <f>SUM(G88:G92)</f>
        <v>0</v>
      </c>
      <c r="H94" s="233">
        <f>F94+G94</f>
        <v>0</v>
      </c>
      <c r="I94" s="231">
        <f>SUM(I88:I92)</f>
        <v>0</v>
      </c>
      <c r="J94" s="232">
        <f>SUM(J88:J92)</f>
        <v>0</v>
      </c>
      <c r="K94" s="233">
        <f>I94+J94</f>
        <v>0</v>
      </c>
      <c r="L94" s="231">
        <f>SUM(L88:L92)</f>
        <v>0</v>
      </c>
      <c r="M94" s="232">
        <f>SUM(M88:M92)</f>
        <v>0</v>
      </c>
      <c r="N94" s="233">
        <f>L94+M94</f>
        <v>0</v>
      </c>
      <c r="O94" s="249">
        <f>E94+H94+K94+N94</f>
        <v>0</v>
      </c>
    </row>
    <row r="95" spans="1:15" ht="20.100000000000001" customHeight="1">
      <c r="A95" s="1476" t="s">
        <v>150</v>
      </c>
      <c r="B95" s="1478"/>
      <c r="C95" s="27"/>
      <c r="D95" s="27"/>
      <c r="E95" s="28"/>
      <c r="F95" s="27"/>
      <c r="G95" s="27"/>
      <c r="H95" s="28"/>
      <c r="I95" s="27"/>
      <c r="J95" s="27"/>
      <c r="K95" s="28"/>
      <c r="L95" s="27"/>
      <c r="M95" s="27"/>
      <c r="N95" s="28"/>
      <c r="O95" s="27"/>
    </row>
    <row r="96" spans="1:15" s="8" customFormat="1" ht="20.100000000000001" customHeight="1">
      <c r="A96" s="239">
        <v>1</v>
      </c>
      <c r="B96" s="241"/>
      <c r="C96" s="25"/>
      <c r="D96" s="25"/>
      <c r="E96" s="234">
        <f>C96+D96</f>
        <v>0</v>
      </c>
      <c r="F96" s="25"/>
      <c r="G96" s="25"/>
      <c r="H96" s="234">
        <f>F96+G96</f>
        <v>0</v>
      </c>
      <c r="I96" s="25"/>
      <c r="J96" s="25"/>
      <c r="K96" s="234">
        <f>I96+J96</f>
        <v>0</v>
      </c>
      <c r="L96" s="25"/>
      <c r="M96" s="25"/>
      <c r="N96" s="234">
        <f>L96+M96</f>
        <v>0</v>
      </c>
      <c r="O96" s="26">
        <f>M96+N96</f>
        <v>0</v>
      </c>
    </row>
    <row r="97" spans="1:15" s="8" customFormat="1" ht="20.100000000000001" customHeight="1">
      <c r="A97" s="240">
        <v>2</v>
      </c>
      <c r="B97" s="242"/>
      <c r="C97" s="236"/>
      <c r="D97" s="236"/>
      <c r="E97" s="237">
        <f>C97+D97</f>
        <v>0</v>
      </c>
      <c r="F97" s="236"/>
      <c r="G97" s="236"/>
      <c r="H97" s="237">
        <f>F97+G97</f>
        <v>0</v>
      </c>
      <c r="I97" s="236"/>
      <c r="J97" s="236"/>
      <c r="K97" s="237">
        <f>I97+J97</f>
        <v>0</v>
      </c>
      <c r="L97" s="236"/>
      <c r="M97" s="236"/>
      <c r="N97" s="237">
        <f>L97+M97</f>
        <v>0</v>
      </c>
      <c r="O97" s="238">
        <f>M97+N97</f>
        <v>0</v>
      </c>
    </row>
    <row r="98" spans="1:15" s="8" customFormat="1" ht="20.100000000000001" customHeight="1">
      <c r="A98" s="240">
        <v>3</v>
      </c>
      <c r="B98" s="242"/>
      <c r="C98" s="236"/>
      <c r="D98" s="236"/>
      <c r="E98" s="237">
        <f t="shared" ref="E98:E101" si="82">C98+D98</f>
        <v>0</v>
      </c>
      <c r="F98" s="236"/>
      <c r="G98" s="236"/>
      <c r="H98" s="237">
        <f t="shared" ref="H98:H101" si="83">F98+G98</f>
        <v>0</v>
      </c>
      <c r="I98" s="236"/>
      <c r="J98" s="236"/>
      <c r="K98" s="237">
        <f t="shared" ref="K98:K101" si="84">I98+J98</f>
        <v>0</v>
      </c>
      <c r="L98" s="236"/>
      <c r="M98" s="236"/>
      <c r="N98" s="237">
        <f t="shared" ref="N98:N101" si="85">L98+M98</f>
        <v>0</v>
      </c>
      <c r="O98" s="238">
        <f t="shared" ref="O98:O101" si="86">M98+N98</f>
        <v>0</v>
      </c>
    </row>
    <row r="99" spans="1:15" s="8" customFormat="1" ht="20.100000000000001" customHeight="1">
      <c r="A99" s="240">
        <v>4</v>
      </c>
      <c r="B99" s="242"/>
      <c r="C99" s="236"/>
      <c r="D99" s="236"/>
      <c r="E99" s="237">
        <f t="shared" si="82"/>
        <v>0</v>
      </c>
      <c r="F99" s="236"/>
      <c r="G99" s="236"/>
      <c r="H99" s="237">
        <f t="shared" si="83"/>
        <v>0</v>
      </c>
      <c r="I99" s="236"/>
      <c r="J99" s="236"/>
      <c r="K99" s="237">
        <f t="shared" si="84"/>
        <v>0</v>
      </c>
      <c r="L99" s="236"/>
      <c r="M99" s="236"/>
      <c r="N99" s="237">
        <f t="shared" si="85"/>
        <v>0</v>
      </c>
      <c r="O99" s="238">
        <f t="shared" si="86"/>
        <v>0</v>
      </c>
    </row>
    <row r="100" spans="1:15" s="8" customFormat="1" ht="20.100000000000001" customHeight="1">
      <c r="A100" s="240">
        <v>5</v>
      </c>
      <c r="B100" s="242"/>
      <c r="C100" s="236"/>
      <c r="D100" s="236"/>
      <c r="E100" s="237">
        <f t="shared" si="82"/>
        <v>0</v>
      </c>
      <c r="F100" s="236"/>
      <c r="G100" s="236"/>
      <c r="H100" s="237">
        <f t="shared" si="83"/>
        <v>0</v>
      </c>
      <c r="I100" s="236"/>
      <c r="J100" s="236"/>
      <c r="K100" s="237">
        <f t="shared" si="84"/>
        <v>0</v>
      </c>
      <c r="L100" s="236"/>
      <c r="M100" s="236"/>
      <c r="N100" s="237">
        <f t="shared" si="85"/>
        <v>0</v>
      </c>
      <c r="O100" s="238">
        <f t="shared" si="86"/>
        <v>0</v>
      </c>
    </row>
    <row r="101" spans="1:15" s="8" customFormat="1" ht="20.100000000000001" customHeight="1">
      <c r="A101" s="269">
        <v>6</v>
      </c>
      <c r="B101" s="243"/>
      <c r="C101" s="235"/>
      <c r="D101" s="235"/>
      <c r="E101" s="196">
        <f t="shared" si="82"/>
        <v>0</v>
      </c>
      <c r="F101" s="235"/>
      <c r="G101" s="235"/>
      <c r="H101" s="196">
        <f t="shared" si="83"/>
        <v>0</v>
      </c>
      <c r="I101" s="235"/>
      <c r="J101" s="235"/>
      <c r="K101" s="196">
        <f t="shared" si="84"/>
        <v>0</v>
      </c>
      <c r="L101" s="235"/>
      <c r="M101" s="235"/>
      <c r="N101" s="196">
        <f t="shared" si="85"/>
        <v>0</v>
      </c>
      <c r="O101" s="29">
        <f t="shared" si="86"/>
        <v>0</v>
      </c>
    </row>
    <row r="102" spans="1:15" ht="20.100000000000001" customHeight="1">
      <c r="A102" s="1512" t="s">
        <v>893</v>
      </c>
      <c r="B102" s="1513"/>
      <c r="C102" s="231">
        <f>SUM(C96:C100)</f>
        <v>0</v>
      </c>
      <c r="D102" s="232">
        <f>SUM(D96:D100)</f>
        <v>0</v>
      </c>
      <c r="E102" s="233">
        <f>C102+D102</f>
        <v>0</v>
      </c>
      <c r="F102" s="231">
        <f>SUM(F96:F100)</f>
        <v>0</v>
      </c>
      <c r="G102" s="232">
        <f>SUM(G96:G100)</f>
        <v>0</v>
      </c>
      <c r="H102" s="233">
        <f>F102+G102</f>
        <v>0</v>
      </c>
      <c r="I102" s="231">
        <f>SUM(I96:I100)</f>
        <v>0</v>
      </c>
      <c r="J102" s="232">
        <f>SUM(J96:J100)</f>
        <v>0</v>
      </c>
      <c r="K102" s="233">
        <f>I102+J102</f>
        <v>0</v>
      </c>
      <c r="L102" s="231">
        <f>SUM(L96:L100)</f>
        <v>0</v>
      </c>
      <c r="M102" s="232">
        <f>SUM(M96:M100)</f>
        <v>0</v>
      </c>
      <c r="N102" s="233">
        <f>L102+M102</f>
        <v>0</v>
      </c>
      <c r="O102" s="249">
        <f>E102+H102+K102+N102</f>
        <v>0</v>
      </c>
    </row>
    <row r="103" spans="1:15" ht="20.100000000000001" customHeight="1">
      <c r="A103" s="1476" t="s">
        <v>151</v>
      </c>
      <c r="B103" s="1478"/>
      <c r="C103" s="27"/>
      <c r="D103" s="27"/>
      <c r="E103" s="28"/>
      <c r="F103" s="27"/>
      <c r="G103" s="27"/>
      <c r="H103" s="28"/>
      <c r="I103" s="27"/>
      <c r="J103" s="27"/>
      <c r="K103" s="28"/>
      <c r="L103" s="27"/>
      <c r="M103" s="27"/>
      <c r="N103" s="28"/>
      <c r="O103" s="27"/>
    </row>
    <row r="104" spans="1:15" s="8" customFormat="1" ht="20.100000000000001" customHeight="1">
      <c r="A104" s="239">
        <v>1</v>
      </c>
      <c r="B104" s="241"/>
      <c r="C104" s="25"/>
      <c r="D104" s="25"/>
      <c r="E104" s="234">
        <f>C104+D104</f>
        <v>0</v>
      </c>
      <c r="F104" s="25"/>
      <c r="G104" s="25"/>
      <c r="H104" s="234">
        <f>F104+G104</f>
        <v>0</v>
      </c>
      <c r="I104" s="25"/>
      <c r="J104" s="25"/>
      <c r="K104" s="234">
        <f>I104+J104</f>
        <v>0</v>
      </c>
      <c r="L104" s="25"/>
      <c r="M104" s="25"/>
      <c r="N104" s="234">
        <f>L104+M104</f>
        <v>0</v>
      </c>
      <c r="O104" s="26">
        <f>M104+N104</f>
        <v>0</v>
      </c>
    </row>
    <row r="105" spans="1:15" s="8" customFormat="1" ht="20.100000000000001" customHeight="1">
      <c r="A105" s="240">
        <v>2</v>
      </c>
      <c r="B105" s="242"/>
      <c r="C105" s="236"/>
      <c r="D105" s="236"/>
      <c r="E105" s="237">
        <f>C105+D105</f>
        <v>0</v>
      </c>
      <c r="F105" s="236"/>
      <c r="G105" s="236"/>
      <c r="H105" s="237">
        <f>F105+G105</f>
        <v>0</v>
      </c>
      <c r="I105" s="236"/>
      <c r="J105" s="236"/>
      <c r="K105" s="237">
        <f>I105+J105</f>
        <v>0</v>
      </c>
      <c r="L105" s="236"/>
      <c r="M105" s="236"/>
      <c r="N105" s="237">
        <f>L105+M105</f>
        <v>0</v>
      </c>
      <c r="O105" s="238">
        <f>M105+N105</f>
        <v>0</v>
      </c>
    </row>
    <row r="106" spans="1:15" s="8" customFormat="1" ht="20.100000000000001" customHeight="1">
      <c r="A106" s="240">
        <v>3</v>
      </c>
      <c r="B106" s="242"/>
      <c r="C106" s="236"/>
      <c r="D106" s="236"/>
      <c r="E106" s="237">
        <f t="shared" ref="E106:E109" si="87">C106+D106</f>
        <v>0</v>
      </c>
      <c r="F106" s="236"/>
      <c r="G106" s="236"/>
      <c r="H106" s="237">
        <f t="shared" ref="H106:H109" si="88">F106+G106</f>
        <v>0</v>
      </c>
      <c r="I106" s="236"/>
      <c r="J106" s="236"/>
      <c r="K106" s="237">
        <f t="shared" ref="K106:K109" si="89">I106+J106</f>
        <v>0</v>
      </c>
      <c r="L106" s="236"/>
      <c r="M106" s="236"/>
      <c r="N106" s="237">
        <f t="shared" ref="N106:N109" si="90">L106+M106</f>
        <v>0</v>
      </c>
      <c r="O106" s="238">
        <f t="shared" ref="O106:O109" si="91">M106+N106</f>
        <v>0</v>
      </c>
    </row>
    <row r="107" spans="1:15" s="8" customFormat="1" ht="20.100000000000001" customHeight="1">
      <c r="A107" s="240">
        <v>4</v>
      </c>
      <c r="B107" s="242"/>
      <c r="C107" s="236"/>
      <c r="D107" s="236"/>
      <c r="E107" s="237">
        <f t="shared" si="87"/>
        <v>0</v>
      </c>
      <c r="F107" s="236"/>
      <c r="G107" s="236"/>
      <c r="H107" s="237">
        <f t="shared" si="88"/>
        <v>0</v>
      </c>
      <c r="I107" s="236"/>
      <c r="J107" s="236"/>
      <c r="K107" s="237">
        <f t="shared" si="89"/>
        <v>0</v>
      </c>
      <c r="L107" s="236"/>
      <c r="M107" s="236"/>
      <c r="N107" s="237">
        <f t="shared" si="90"/>
        <v>0</v>
      </c>
      <c r="O107" s="238">
        <f t="shared" si="91"/>
        <v>0</v>
      </c>
    </row>
    <row r="108" spans="1:15" s="8" customFormat="1" ht="20.100000000000001" customHeight="1">
      <c r="A108" s="240">
        <v>5</v>
      </c>
      <c r="B108" s="242"/>
      <c r="C108" s="236"/>
      <c r="D108" s="236"/>
      <c r="E108" s="237">
        <f t="shared" si="87"/>
        <v>0</v>
      </c>
      <c r="F108" s="236"/>
      <c r="G108" s="236"/>
      <c r="H108" s="237">
        <f t="shared" si="88"/>
        <v>0</v>
      </c>
      <c r="I108" s="236"/>
      <c r="J108" s="236"/>
      <c r="K108" s="237">
        <f t="shared" si="89"/>
        <v>0</v>
      </c>
      <c r="L108" s="236"/>
      <c r="M108" s="236"/>
      <c r="N108" s="237">
        <f t="shared" si="90"/>
        <v>0</v>
      </c>
      <c r="O108" s="238">
        <f t="shared" si="91"/>
        <v>0</v>
      </c>
    </row>
    <row r="109" spans="1:15" s="8" customFormat="1" ht="20.100000000000001" customHeight="1">
      <c r="A109" s="269">
        <v>6</v>
      </c>
      <c r="B109" s="243"/>
      <c r="C109" s="235"/>
      <c r="D109" s="235"/>
      <c r="E109" s="196">
        <f t="shared" si="87"/>
        <v>0</v>
      </c>
      <c r="F109" s="235"/>
      <c r="G109" s="235"/>
      <c r="H109" s="196">
        <f t="shared" si="88"/>
        <v>0</v>
      </c>
      <c r="I109" s="235"/>
      <c r="J109" s="235"/>
      <c r="K109" s="196">
        <f t="shared" si="89"/>
        <v>0</v>
      </c>
      <c r="L109" s="235"/>
      <c r="M109" s="235"/>
      <c r="N109" s="196">
        <f t="shared" si="90"/>
        <v>0</v>
      </c>
      <c r="O109" s="29">
        <f t="shared" si="91"/>
        <v>0</v>
      </c>
    </row>
    <row r="110" spans="1:15" ht="20.100000000000001" customHeight="1">
      <c r="A110" s="1514" t="s">
        <v>893</v>
      </c>
      <c r="B110" s="1515"/>
      <c r="C110" s="231">
        <f>SUM(C104:C108)</f>
        <v>0</v>
      </c>
      <c r="D110" s="232">
        <f>SUM(D104:D108)</f>
        <v>0</v>
      </c>
      <c r="E110" s="233">
        <f>C110+D110</f>
        <v>0</v>
      </c>
      <c r="F110" s="231">
        <f>SUM(F104:F108)</f>
        <v>0</v>
      </c>
      <c r="G110" s="232">
        <f>SUM(G104:G108)</f>
        <v>0</v>
      </c>
      <c r="H110" s="233">
        <f>F110+G110</f>
        <v>0</v>
      </c>
      <c r="I110" s="231">
        <f>SUM(I104:I108)</f>
        <v>0</v>
      </c>
      <c r="J110" s="232">
        <f>SUM(J104:J108)</f>
        <v>0</v>
      </c>
      <c r="K110" s="233">
        <f>I110+J110</f>
        <v>0</v>
      </c>
      <c r="L110" s="231">
        <f>SUM(L104:L108)</f>
        <v>0</v>
      </c>
      <c r="M110" s="232">
        <f>SUM(M104:M108)</f>
        <v>0</v>
      </c>
      <c r="N110" s="233">
        <f>L110+M110</f>
        <v>0</v>
      </c>
      <c r="O110" s="251">
        <f>E110+H110+K110+N110</f>
        <v>0</v>
      </c>
    </row>
    <row r="111" spans="1:15" ht="21.75" customHeight="1">
      <c r="A111" s="1516" t="s">
        <v>980</v>
      </c>
      <c r="B111" s="1516"/>
      <c r="C111" s="344">
        <f>C16+C33+C42+C50+C66+C86+C94+C102+C110+C74</f>
        <v>3394</v>
      </c>
      <c r="D111" s="344">
        <f t="shared" ref="D111:O111" si="92">D16+D33+D42+D50+D66+D86+D94+D102+D110+D74</f>
        <v>2322</v>
      </c>
      <c r="E111" s="344">
        <f t="shared" si="92"/>
        <v>5716</v>
      </c>
      <c r="F111" s="344">
        <f t="shared" si="92"/>
        <v>2139</v>
      </c>
      <c r="G111" s="344">
        <f t="shared" si="92"/>
        <v>1421</v>
      </c>
      <c r="H111" s="344">
        <f t="shared" si="92"/>
        <v>3560</v>
      </c>
      <c r="I111" s="344">
        <f t="shared" si="92"/>
        <v>1095</v>
      </c>
      <c r="J111" s="344">
        <f t="shared" si="92"/>
        <v>604</v>
      </c>
      <c r="K111" s="344">
        <f t="shared" si="92"/>
        <v>1699</v>
      </c>
      <c r="L111" s="344">
        <f t="shared" si="92"/>
        <v>625</v>
      </c>
      <c r="M111" s="344">
        <f t="shared" si="92"/>
        <v>252</v>
      </c>
      <c r="N111" s="344">
        <f t="shared" si="92"/>
        <v>877</v>
      </c>
      <c r="O111" s="344">
        <f t="shared" si="92"/>
        <v>11852</v>
      </c>
    </row>
    <row r="112" spans="1:15" ht="49.5" customHeight="1">
      <c r="A112" s="1528" t="s">
        <v>1104</v>
      </c>
      <c r="B112" s="1528"/>
      <c r="C112" s="1528"/>
      <c r="D112" s="1528"/>
      <c r="E112" s="1528"/>
      <c r="F112" s="1528"/>
      <c r="G112" s="1528"/>
      <c r="H112" s="1528"/>
      <c r="I112" s="1528"/>
      <c r="J112" s="1528"/>
      <c r="K112" s="1528"/>
      <c r="L112" s="1528"/>
      <c r="M112" s="1528"/>
      <c r="N112" s="1528"/>
      <c r="O112" s="1528"/>
    </row>
    <row r="113" spans="1:15" ht="12.75">
      <c r="B113" s="1407"/>
      <c r="C113" s="1407"/>
      <c r="D113" s="1407"/>
      <c r="E113" s="1407"/>
      <c r="F113" s="1407"/>
      <c r="G113" s="1407"/>
      <c r="H113" s="1407"/>
      <c r="I113" s="10"/>
      <c r="J113" s="10"/>
      <c r="K113" s="10"/>
      <c r="L113" s="10"/>
      <c r="M113" s="10"/>
      <c r="N113" s="10"/>
      <c r="O113" s="10"/>
    </row>
    <row r="114" spans="1:15" ht="15.75">
      <c r="A114" s="183" t="s">
        <v>867</v>
      </c>
      <c r="B114" s="184"/>
      <c r="C114" s="1529"/>
      <c r="D114" s="1529"/>
      <c r="E114" s="1529"/>
      <c r="F114" s="1529"/>
      <c r="G114" s="1529"/>
      <c r="H114" s="1529"/>
      <c r="I114" s="1529"/>
      <c r="J114" s="1529"/>
      <c r="K114" s="1529"/>
      <c r="L114" s="1529"/>
      <c r="M114" s="1529"/>
      <c r="N114" s="1529"/>
      <c r="O114" s="1529"/>
    </row>
    <row r="115" spans="1:15">
      <c r="B115" s="228"/>
      <c r="C115" s="20"/>
      <c r="D115" s="20"/>
      <c r="E115" s="20"/>
      <c r="F115" s="20"/>
      <c r="G115" s="20"/>
      <c r="H115" s="20"/>
      <c r="I115" s="10"/>
      <c r="J115" s="10"/>
      <c r="K115" s="10"/>
      <c r="L115" s="10"/>
      <c r="M115" s="10"/>
      <c r="N115" s="10"/>
      <c r="O115" s="10"/>
    </row>
    <row r="116" spans="1:15" ht="12.75">
      <c r="A116" s="1517" t="s">
        <v>878</v>
      </c>
      <c r="B116" s="1517"/>
      <c r="C116" s="1497" t="s">
        <v>1103</v>
      </c>
      <c r="D116" s="1498"/>
      <c r="E116" s="1498"/>
      <c r="F116" s="1498"/>
      <c r="G116" s="1498"/>
      <c r="H116" s="1498"/>
      <c r="I116" s="1499"/>
      <c r="J116" s="1499"/>
      <c r="K116" s="1499"/>
      <c r="L116" s="1499"/>
      <c r="M116" s="1499"/>
      <c r="N116" s="1499"/>
      <c r="O116" s="1500"/>
    </row>
    <row r="117" spans="1:15" ht="12.75">
      <c r="A117" s="1517"/>
      <c r="B117" s="1517"/>
      <c r="C117" s="1501" t="s">
        <v>154</v>
      </c>
      <c r="D117" s="1502" t="s">
        <v>155</v>
      </c>
      <c r="E117" s="1503"/>
      <c r="F117" s="1504" t="s">
        <v>156</v>
      </c>
      <c r="G117" s="1505"/>
      <c r="H117" s="1506"/>
      <c r="I117" s="1507" t="s">
        <v>157</v>
      </c>
      <c r="J117" s="1508"/>
      <c r="K117" s="1509"/>
      <c r="L117" s="1501" t="s">
        <v>136</v>
      </c>
      <c r="M117" s="1502"/>
      <c r="N117" s="1503"/>
      <c r="O117" s="1510" t="s">
        <v>138</v>
      </c>
    </row>
    <row r="118" spans="1:15" ht="41.25" customHeight="1">
      <c r="A118" s="1517"/>
      <c r="B118" s="1517"/>
      <c r="C118" s="229" t="s">
        <v>140</v>
      </c>
      <c r="D118" s="230" t="s">
        <v>141</v>
      </c>
      <c r="E118" s="24" t="s">
        <v>138</v>
      </c>
      <c r="F118" s="229" t="s">
        <v>140</v>
      </c>
      <c r="G118" s="230" t="s">
        <v>141</v>
      </c>
      <c r="H118" s="24" t="s">
        <v>138</v>
      </c>
      <c r="I118" s="229" t="s">
        <v>140</v>
      </c>
      <c r="J118" s="230" t="s">
        <v>141</v>
      </c>
      <c r="K118" s="24" t="s">
        <v>138</v>
      </c>
      <c r="L118" s="229" t="s">
        <v>140</v>
      </c>
      <c r="M118" s="230" t="s">
        <v>141</v>
      </c>
      <c r="N118" s="24" t="s">
        <v>138</v>
      </c>
      <c r="O118" s="1511"/>
    </row>
    <row r="119" spans="1:15" ht="15" customHeight="1">
      <c r="A119" s="1518" t="s">
        <v>142</v>
      </c>
      <c r="B119" s="1518"/>
      <c r="C119" s="1519"/>
      <c r="D119" s="1520"/>
      <c r="E119" s="1521"/>
      <c r="F119" s="1522"/>
      <c r="G119" s="1523"/>
      <c r="H119" s="1524"/>
      <c r="I119" s="1519"/>
      <c r="J119" s="1525"/>
      <c r="K119" s="1526"/>
      <c r="L119" s="1519"/>
      <c r="M119" s="1525"/>
      <c r="N119" s="1526"/>
      <c r="O119" s="248"/>
    </row>
    <row r="120" spans="1:15" ht="20.100000000000001" customHeight="1">
      <c r="A120" s="239">
        <v>1</v>
      </c>
      <c r="B120" s="520" t="s">
        <v>344</v>
      </c>
      <c r="C120" s="25"/>
      <c r="D120" s="25"/>
      <c r="E120" s="234">
        <f>C120+D120</f>
        <v>0</v>
      </c>
      <c r="F120" s="25"/>
      <c r="G120" s="25"/>
      <c r="H120" s="234">
        <f>F120+G120</f>
        <v>0</v>
      </c>
      <c r="I120" s="25"/>
      <c r="J120" s="25"/>
      <c r="K120" s="234">
        <f>I120+J120</f>
        <v>0</v>
      </c>
      <c r="L120" s="25"/>
      <c r="M120" s="25"/>
      <c r="N120" s="234">
        <f>L120+M120</f>
        <v>0</v>
      </c>
      <c r="O120" s="238">
        <f t="shared" ref="O120:O125" si="93">+E120+H120+K120+N120</f>
        <v>0</v>
      </c>
    </row>
    <row r="121" spans="1:15" ht="20.100000000000001" customHeight="1">
      <c r="A121" s="240">
        <v>2</v>
      </c>
      <c r="B121" s="520" t="s">
        <v>1137</v>
      </c>
      <c r="C121" s="236"/>
      <c r="D121" s="236">
        <v>3</v>
      </c>
      <c r="E121" s="237">
        <f>C121+D121</f>
        <v>3</v>
      </c>
      <c r="F121" s="236"/>
      <c r="G121" s="236"/>
      <c r="H121" s="237">
        <f>F121+G121</f>
        <v>0</v>
      </c>
      <c r="I121" s="236"/>
      <c r="J121" s="236"/>
      <c r="K121" s="237">
        <f>I121+J121</f>
        <v>0</v>
      </c>
      <c r="L121" s="236"/>
      <c r="M121" s="236"/>
      <c r="N121" s="237">
        <f>L121+M121</f>
        <v>0</v>
      </c>
      <c r="O121" s="238">
        <f t="shared" si="93"/>
        <v>3</v>
      </c>
    </row>
    <row r="122" spans="1:15" ht="20.100000000000001" customHeight="1">
      <c r="A122" s="240">
        <v>3</v>
      </c>
      <c r="B122" s="790" t="s">
        <v>479</v>
      </c>
      <c r="C122" s="236">
        <v>18</v>
      </c>
      <c r="D122" s="236">
        <v>26</v>
      </c>
      <c r="E122" s="237">
        <f t="shared" ref="E122:E125" si="94">C122+D122</f>
        <v>44</v>
      </c>
      <c r="F122" s="236"/>
      <c r="G122" s="236"/>
      <c r="H122" s="237">
        <f t="shared" ref="H122:H125" si="95">F122+G122</f>
        <v>0</v>
      </c>
      <c r="I122" s="236"/>
      <c r="J122" s="236"/>
      <c r="K122" s="237">
        <f t="shared" ref="K122:K125" si="96">I122+J122</f>
        <v>0</v>
      </c>
      <c r="L122" s="236"/>
      <c r="M122" s="236"/>
      <c r="N122" s="237">
        <f t="shared" ref="N122:N125" si="97">L122+M122</f>
        <v>0</v>
      </c>
      <c r="O122" s="238">
        <f t="shared" si="93"/>
        <v>44</v>
      </c>
    </row>
    <row r="123" spans="1:15" ht="20.100000000000001" customHeight="1">
      <c r="A123" s="240">
        <v>4</v>
      </c>
      <c r="B123" s="520" t="s">
        <v>384</v>
      </c>
      <c r="C123" s="236"/>
      <c r="D123" s="236"/>
      <c r="E123" s="237">
        <f t="shared" si="94"/>
        <v>0</v>
      </c>
      <c r="F123" s="236"/>
      <c r="G123" s="236"/>
      <c r="H123" s="237">
        <f t="shared" si="95"/>
        <v>0</v>
      </c>
      <c r="I123" s="236"/>
      <c r="J123" s="236"/>
      <c r="K123" s="237">
        <f t="shared" si="96"/>
        <v>0</v>
      </c>
      <c r="L123" s="236"/>
      <c r="M123" s="236"/>
      <c r="N123" s="237">
        <f t="shared" si="97"/>
        <v>0</v>
      </c>
      <c r="O123" s="238">
        <f t="shared" si="93"/>
        <v>0</v>
      </c>
    </row>
    <row r="124" spans="1:15" ht="20.100000000000001" customHeight="1">
      <c r="A124" s="240">
        <v>5</v>
      </c>
      <c r="B124" s="520" t="s">
        <v>1138</v>
      </c>
      <c r="C124" s="236"/>
      <c r="D124" s="236"/>
      <c r="E124" s="237">
        <f t="shared" si="94"/>
        <v>0</v>
      </c>
      <c r="F124" s="236"/>
      <c r="G124" s="236"/>
      <c r="H124" s="237">
        <f t="shared" si="95"/>
        <v>0</v>
      </c>
      <c r="I124" s="236"/>
      <c r="J124" s="236"/>
      <c r="K124" s="237">
        <f t="shared" si="96"/>
        <v>0</v>
      </c>
      <c r="L124" s="236"/>
      <c r="M124" s="236"/>
      <c r="N124" s="237">
        <f t="shared" si="97"/>
        <v>0</v>
      </c>
      <c r="O124" s="238">
        <f t="shared" si="93"/>
        <v>0</v>
      </c>
    </row>
    <row r="125" spans="1:15" ht="20.100000000000001" customHeight="1">
      <c r="A125" s="269">
        <v>6</v>
      </c>
      <c r="B125" s="520" t="s">
        <v>411</v>
      </c>
      <c r="C125" s="235"/>
      <c r="D125" s="235"/>
      <c r="E125" s="196">
        <f t="shared" si="94"/>
        <v>0</v>
      </c>
      <c r="F125" s="235"/>
      <c r="G125" s="235"/>
      <c r="H125" s="196">
        <f t="shared" si="95"/>
        <v>0</v>
      </c>
      <c r="I125" s="235"/>
      <c r="J125" s="235"/>
      <c r="K125" s="196">
        <f t="shared" si="96"/>
        <v>0</v>
      </c>
      <c r="L125" s="235"/>
      <c r="M125" s="235"/>
      <c r="N125" s="196">
        <f t="shared" si="97"/>
        <v>0</v>
      </c>
      <c r="O125" s="238">
        <f t="shared" si="93"/>
        <v>0</v>
      </c>
    </row>
    <row r="126" spans="1:15" ht="20.100000000000001" customHeight="1">
      <c r="A126" s="1512" t="s">
        <v>893</v>
      </c>
      <c r="B126" s="1513"/>
      <c r="C126" s="231">
        <f>SUM(C120:C125)</f>
        <v>18</v>
      </c>
      <c r="D126" s="231">
        <f t="shared" ref="D126" si="98">SUM(D120:D125)</f>
        <v>29</v>
      </c>
      <c r="E126" s="233">
        <f>C126+D126</f>
        <v>47</v>
      </c>
      <c r="F126" s="231">
        <f t="shared" ref="F126:G126" si="99">SUM(F120:F125)</f>
        <v>0</v>
      </c>
      <c r="G126" s="231">
        <f t="shared" si="99"/>
        <v>0</v>
      </c>
      <c r="H126" s="233">
        <f>F126+G126</f>
        <v>0</v>
      </c>
      <c r="I126" s="231">
        <f t="shared" ref="I126:J126" si="100">SUM(I120:I125)</f>
        <v>0</v>
      </c>
      <c r="J126" s="231">
        <f t="shared" si="100"/>
        <v>0</v>
      </c>
      <c r="K126" s="233">
        <f>I126+J126</f>
        <v>0</v>
      </c>
      <c r="L126" s="231">
        <f t="shared" ref="L126:M126" si="101">SUM(L120:L125)</f>
        <v>0</v>
      </c>
      <c r="M126" s="231">
        <f t="shared" si="101"/>
        <v>0</v>
      </c>
      <c r="N126" s="233">
        <f>L126+M126</f>
        <v>0</v>
      </c>
      <c r="O126" s="249">
        <f>E126+H126+K126+N126</f>
        <v>47</v>
      </c>
    </row>
    <row r="127" spans="1:15" ht="15" customHeight="1">
      <c r="A127" s="1476" t="s">
        <v>147</v>
      </c>
      <c r="B127" s="1478"/>
      <c r="C127" s="27"/>
      <c r="D127" s="27"/>
      <c r="E127" s="28"/>
      <c r="F127" s="27"/>
      <c r="G127" s="27"/>
      <c r="H127" s="28"/>
      <c r="I127" s="27"/>
      <c r="J127" s="27"/>
      <c r="K127" s="28"/>
      <c r="L127" s="27"/>
      <c r="M127" s="27"/>
      <c r="N127" s="28"/>
      <c r="O127" s="27"/>
    </row>
    <row r="128" spans="1:15" ht="20.100000000000001" customHeight="1">
      <c r="A128" s="239">
        <v>1</v>
      </c>
      <c r="B128" s="790" t="s">
        <v>364</v>
      </c>
      <c r="C128" s="25">
        <v>79</v>
      </c>
      <c r="D128" s="25">
        <v>16</v>
      </c>
      <c r="E128" s="234">
        <f>C128+D128</f>
        <v>95</v>
      </c>
      <c r="F128" s="25"/>
      <c r="G128" s="25"/>
      <c r="H128" s="234">
        <f>F128+G128</f>
        <v>0</v>
      </c>
      <c r="I128" s="25"/>
      <c r="J128" s="25"/>
      <c r="K128" s="234">
        <f>I128+J128</f>
        <v>0</v>
      </c>
      <c r="L128" s="25"/>
      <c r="M128" s="25"/>
      <c r="N128" s="234">
        <f>L128+M128</f>
        <v>0</v>
      </c>
      <c r="O128" s="238">
        <f t="shared" ref="O128:O140" si="102">+E128+H128+K128+N128</f>
        <v>95</v>
      </c>
    </row>
    <row r="129" spans="1:15" ht="20.100000000000001" customHeight="1">
      <c r="A129" s="240">
        <v>2</v>
      </c>
      <c r="B129" s="520" t="s">
        <v>1139</v>
      </c>
      <c r="C129" s="236"/>
      <c r="D129" s="236"/>
      <c r="E129" s="237">
        <f>C129+D129</f>
        <v>0</v>
      </c>
      <c r="F129" s="236"/>
      <c r="G129" s="236"/>
      <c r="H129" s="237">
        <f>F129+G129</f>
        <v>0</v>
      </c>
      <c r="I129" s="236"/>
      <c r="J129" s="236"/>
      <c r="K129" s="237">
        <f>I129+J129</f>
        <v>0</v>
      </c>
      <c r="L129" s="236"/>
      <c r="M129" s="236"/>
      <c r="N129" s="237">
        <f>L129+M129</f>
        <v>0</v>
      </c>
      <c r="O129" s="238">
        <f t="shared" si="102"/>
        <v>0</v>
      </c>
    </row>
    <row r="130" spans="1:15" ht="20.100000000000001" customHeight="1">
      <c r="A130" s="240">
        <v>3</v>
      </c>
      <c r="B130" s="520" t="s">
        <v>1140</v>
      </c>
      <c r="C130" s="236"/>
      <c r="D130" s="236"/>
      <c r="E130" s="237">
        <f t="shared" ref="E130:E131" si="103">C130+D130</f>
        <v>0</v>
      </c>
      <c r="F130" s="236"/>
      <c r="G130" s="236"/>
      <c r="H130" s="237">
        <f t="shared" ref="H130:H131" si="104">F130+G130</f>
        <v>0</v>
      </c>
      <c r="I130" s="236"/>
      <c r="J130" s="236"/>
      <c r="K130" s="237">
        <f t="shared" ref="K130:K131" si="105">I130+J130</f>
        <v>0</v>
      </c>
      <c r="L130" s="236"/>
      <c r="M130" s="236"/>
      <c r="N130" s="237">
        <f t="shared" ref="N130:N131" si="106">L130+M130</f>
        <v>0</v>
      </c>
      <c r="O130" s="238">
        <f t="shared" si="102"/>
        <v>0</v>
      </c>
    </row>
    <row r="131" spans="1:15" ht="20.100000000000001" customHeight="1">
      <c r="A131" s="240">
        <v>4</v>
      </c>
      <c r="B131" s="520" t="s">
        <v>388</v>
      </c>
      <c r="C131" s="236"/>
      <c r="D131" s="236"/>
      <c r="E131" s="237">
        <f t="shared" si="103"/>
        <v>0</v>
      </c>
      <c r="F131" s="236"/>
      <c r="G131" s="236"/>
      <c r="H131" s="237">
        <f t="shared" si="104"/>
        <v>0</v>
      </c>
      <c r="I131" s="236"/>
      <c r="J131" s="236"/>
      <c r="K131" s="237">
        <f t="shared" si="105"/>
        <v>0</v>
      </c>
      <c r="L131" s="236"/>
      <c r="M131" s="236"/>
      <c r="N131" s="237">
        <f t="shared" si="106"/>
        <v>0</v>
      </c>
      <c r="O131" s="238">
        <f t="shared" si="102"/>
        <v>0</v>
      </c>
    </row>
    <row r="132" spans="1:15" ht="20.100000000000001" customHeight="1">
      <c r="A132" s="240">
        <v>5</v>
      </c>
      <c r="B132" s="520" t="s">
        <v>378</v>
      </c>
      <c r="C132" s="236">
        <v>3</v>
      </c>
      <c r="D132" s="236">
        <v>1</v>
      </c>
      <c r="E132" s="237">
        <f t="shared" ref="E132:E139" si="107">C132+D132</f>
        <v>4</v>
      </c>
      <c r="F132" s="236"/>
      <c r="G132" s="236"/>
      <c r="H132" s="237">
        <f t="shared" ref="H132:H139" si="108">F132+G132</f>
        <v>0</v>
      </c>
      <c r="I132" s="236"/>
      <c r="J132" s="236"/>
      <c r="K132" s="237">
        <f t="shared" ref="K132:K139" si="109">I132+J132</f>
        <v>0</v>
      </c>
      <c r="L132" s="236"/>
      <c r="M132" s="236"/>
      <c r="N132" s="237">
        <f t="shared" ref="N132:N140" si="110">L132+M132</f>
        <v>0</v>
      </c>
      <c r="O132" s="238">
        <f t="shared" si="102"/>
        <v>4</v>
      </c>
    </row>
    <row r="133" spans="1:15" ht="20.100000000000001" customHeight="1">
      <c r="A133" s="240">
        <v>6</v>
      </c>
      <c r="B133" s="520" t="s">
        <v>1141</v>
      </c>
      <c r="C133" s="236"/>
      <c r="D133" s="236"/>
      <c r="E133" s="237">
        <f t="shared" si="107"/>
        <v>0</v>
      </c>
      <c r="F133" s="236"/>
      <c r="G133" s="236"/>
      <c r="H133" s="237">
        <f t="shared" si="108"/>
        <v>0</v>
      </c>
      <c r="I133" s="236"/>
      <c r="J133" s="236"/>
      <c r="K133" s="237">
        <f t="shared" si="109"/>
        <v>0</v>
      </c>
      <c r="L133" s="236"/>
      <c r="M133" s="236"/>
      <c r="N133" s="237">
        <f t="shared" si="110"/>
        <v>0</v>
      </c>
      <c r="O133" s="238">
        <f t="shared" si="102"/>
        <v>0</v>
      </c>
    </row>
    <row r="134" spans="1:15" ht="20.100000000000001" customHeight="1">
      <c r="A134" s="240">
        <v>7</v>
      </c>
      <c r="B134" s="790" t="s">
        <v>417</v>
      </c>
      <c r="C134" s="236">
        <v>174</v>
      </c>
      <c r="D134" s="236">
        <v>23</v>
      </c>
      <c r="E134" s="237">
        <f t="shared" si="107"/>
        <v>197</v>
      </c>
      <c r="F134" s="236">
        <v>57</v>
      </c>
      <c r="G134" s="236">
        <v>20</v>
      </c>
      <c r="H134" s="237">
        <f t="shared" si="108"/>
        <v>77</v>
      </c>
      <c r="I134" s="236"/>
      <c r="J134" s="236"/>
      <c r="K134" s="237">
        <f t="shared" si="109"/>
        <v>0</v>
      </c>
      <c r="L134" s="236"/>
      <c r="M134" s="236"/>
      <c r="N134" s="237">
        <f t="shared" si="110"/>
        <v>0</v>
      </c>
      <c r="O134" s="238">
        <f t="shared" si="102"/>
        <v>274</v>
      </c>
    </row>
    <row r="135" spans="1:15" ht="20.100000000000001" customHeight="1">
      <c r="A135" s="240">
        <v>8</v>
      </c>
      <c r="B135" s="520" t="s">
        <v>421</v>
      </c>
      <c r="C135" s="236">
        <v>15</v>
      </c>
      <c r="D135" s="236">
        <v>47</v>
      </c>
      <c r="E135" s="237">
        <f t="shared" si="107"/>
        <v>62</v>
      </c>
      <c r="F135" s="236"/>
      <c r="G135" s="236"/>
      <c r="H135" s="237">
        <f t="shared" si="108"/>
        <v>0</v>
      </c>
      <c r="I135" s="236"/>
      <c r="J135" s="236"/>
      <c r="K135" s="237">
        <f t="shared" si="109"/>
        <v>0</v>
      </c>
      <c r="L135" s="236"/>
      <c r="M135" s="236"/>
      <c r="N135" s="237">
        <f t="shared" si="110"/>
        <v>0</v>
      </c>
      <c r="O135" s="238">
        <f t="shared" si="102"/>
        <v>62</v>
      </c>
    </row>
    <row r="136" spans="1:15" ht="20.100000000000001" customHeight="1">
      <c r="A136" s="240">
        <v>9</v>
      </c>
      <c r="B136" s="520" t="s">
        <v>1142</v>
      </c>
      <c r="C136" s="236"/>
      <c r="D136" s="236"/>
      <c r="E136" s="237">
        <f t="shared" si="107"/>
        <v>0</v>
      </c>
      <c r="F136" s="236"/>
      <c r="G136" s="236"/>
      <c r="H136" s="237">
        <f t="shared" si="108"/>
        <v>0</v>
      </c>
      <c r="I136" s="236"/>
      <c r="J136" s="236"/>
      <c r="K136" s="237">
        <f t="shared" si="109"/>
        <v>0</v>
      </c>
      <c r="L136" s="236"/>
      <c r="M136" s="236"/>
      <c r="N136" s="237">
        <f t="shared" si="110"/>
        <v>0</v>
      </c>
      <c r="O136" s="238">
        <f t="shared" si="102"/>
        <v>0</v>
      </c>
    </row>
    <row r="137" spans="1:15" ht="20.100000000000001" customHeight="1">
      <c r="A137" s="240">
        <v>10</v>
      </c>
      <c r="B137" s="520" t="s">
        <v>1143</v>
      </c>
      <c r="C137" s="236"/>
      <c r="D137" s="236"/>
      <c r="E137" s="237">
        <f t="shared" si="107"/>
        <v>0</v>
      </c>
      <c r="F137" s="236"/>
      <c r="G137" s="236"/>
      <c r="H137" s="237">
        <f t="shared" si="108"/>
        <v>0</v>
      </c>
      <c r="I137" s="236"/>
      <c r="J137" s="236"/>
      <c r="K137" s="237">
        <f t="shared" si="109"/>
        <v>0</v>
      </c>
      <c r="L137" s="236"/>
      <c r="M137" s="236"/>
      <c r="N137" s="237">
        <f t="shared" si="110"/>
        <v>0</v>
      </c>
      <c r="O137" s="238">
        <f t="shared" si="102"/>
        <v>0</v>
      </c>
    </row>
    <row r="138" spans="1:15" ht="20.100000000000001" customHeight="1">
      <c r="A138" s="240">
        <v>11</v>
      </c>
      <c r="B138" s="520" t="s">
        <v>1144</v>
      </c>
      <c r="C138" s="236"/>
      <c r="D138" s="236"/>
      <c r="E138" s="237">
        <f t="shared" si="107"/>
        <v>0</v>
      </c>
      <c r="F138" s="236"/>
      <c r="G138" s="236"/>
      <c r="H138" s="237">
        <f t="shared" si="108"/>
        <v>0</v>
      </c>
      <c r="I138" s="236"/>
      <c r="J138" s="236"/>
      <c r="K138" s="237">
        <f t="shared" si="109"/>
        <v>0</v>
      </c>
      <c r="L138" s="236"/>
      <c r="M138" s="236"/>
      <c r="N138" s="237">
        <f t="shared" si="110"/>
        <v>0</v>
      </c>
      <c r="O138" s="238">
        <f t="shared" si="102"/>
        <v>0</v>
      </c>
    </row>
    <row r="139" spans="1:15" ht="20.100000000000001" customHeight="1">
      <c r="A139" s="240">
        <v>12</v>
      </c>
      <c r="B139" s="520" t="s">
        <v>356</v>
      </c>
      <c r="C139" s="236"/>
      <c r="D139" s="236"/>
      <c r="E139" s="237">
        <f t="shared" si="107"/>
        <v>0</v>
      </c>
      <c r="F139" s="236"/>
      <c r="G139" s="236"/>
      <c r="H139" s="237">
        <f t="shared" si="108"/>
        <v>0</v>
      </c>
      <c r="I139" s="236"/>
      <c r="J139" s="236"/>
      <c r="K139" s="237">
        <f t="shared" si="109"/>
        <v>0</v>
      </c>
      <c r="L139" s="236"/>
      <c r="M139" s="236"/>
      <c r="N139" s="237">
        <f t="shared" si="110"/>
        <v>0</v>
      </c>
      <c r="O139" s="238">
        <f t="shared" si="102"/>
        <v>0</v>
      </c>
    </row>
    <row r="140" spans="1:15" ht="20.100000000000001" customHeight="1">
      <c r="A140" s="240">
        <v>13</v>
      </c>
      <c r="B140" s="520" t="s">
        <v>432</v>
      </c>
      <c r="C140" s="231">
        <f>SUM(C127:C138)</f>
        <v>271</v>
      </c>
      <c r="D140" s="232">
        <f>SUM(D127:D138)</f>
        <v>87</v>
      </c>
      <c r="E140" s="233">
        <f>C140+D140</f>
        <v>358</v>
      </c>
      <c r="F140" s="231">
        <f>SUM(F127:F138)</f>
        <v>57</v>
      </c>
      <c r="G140" s="232">
        <f>SUM(G127:G138)</f>
        <v>20</v>
      </c>
      <c r="H140" s="233">
        <f>F140+G140</f>
        <v>77</v>
      </c>
      <c r="I140" s="231"/>
      <c r="J140" s="232"/>
      <c r="K140" s="233">
        <f>I140+J140</f>
        <v>0</v>
      </c>
      <c r="L140" s="236"/>
      <c r="M140" s="236"/>
      <c r="N140" s="237">
        <f t="shared" si="110"/>
        <v>0</v>
      </c>
      <c r="O140" s="238">
        <f t="shared" si="102"/>
        <v>435</v>
      </c>
    </row>
    <row r="141" spans="1:15" ht="20.100000000000001" customHeight="1">
      <c r="A141" s="240">
        <v>14</v>
      </c>
      <c r="B141" s="825" t="s">
        <v>434</v>
      </c>
      <c r="C141" s="546">
        <v>5</v>
      </c>
      <c r="D141" s="546">
        <v>2</v>
      </c>
      <c r="E141" s="250">
        <f>C141+D141</f>
        <v>7</v>
      </c>
      <c r="F141" s="546"/>
      <c r="G141" s="546"/>
      <c r="H141" s="250">
        <f>F141+G141</f>
        <v>0</v>
      </c>
      <c r="I141" s="546"/>
      <c r="J141" s="546"/>
      <c r="K141" s="250">
        <f>I141+J141</f>
        <v>0</v>
      </c>
      <c r="L141" s="545">
        <f>SUM(L128:L139)</f>
        <v>0</v>
      </c>
      <c r="M141" s="232">
        <f>SUM(M128:M139)</f>
        <v>0</v>
      </c>
      <c r="N141" s="233">
        <f>L141+M141</f>
        <v>0</v>
      </c>
      <c r="O141" s="249">
        <f>E141+H141+K141+N141</f>
        <v>7</v>
      </c>
    </row>
    <row r="142" spans="1:15" ht="20.100000000000001" customHeight="1">
      <c r="A142" s="1512" t="s">
        <v>893</v>
      </c>
      <c r="B142" s="1513"/>
      <c r="C142" s="231">
        <f>SUM(C128:C141)</f>
        <v>547</v>
      </c>
      <c r="D142" s="231">
        <f t="shared" ref="D142" si="111">SUM(D128:D141)</f>
        <v>176</v>
      </c>
      <c r="E142" s="233">
        <f>C142+D142</f>
        <v>723</v>
      </c>
      <c r="F142" s="231">
        <f t="shared" ref="F142:G142" si="112">SUM(F128:F141)</f>
        <v>114</v>
      </c>
      <c r="G142" s="231">
        <f t="shared" si="112"/>
        <v>40</v>
      </c>
      <c r="H142" s="233">
        <f>F142+G142</f>
        <v>154</v>
      </c>
      <c r="I142" s="231">
        <f t="shared" ref="I142:J142" si="113">SUM(I128:I141)</f>
        <v>0</v>
      </c>
      <c r="J142" s="231">
        <f t="shared" si="113"/>
        <v>0</v>
      </c>
      <c r="K142" s="233">
        <f>I142+J142</f>
        <v>0</v>
      </c>
      <c r="L142" s="231">
        <f t="shared" ref="L142:M142" si="114">SUM(L128:L141)</f>
        <v>0</v>
      </c>
      <c r="M142" s="231">
        <f t="shared" si="114"/>
        <v>0</v>
      </c>
      <c r="N142" s="233">
        <f>L142+M142</f>
        <v>0</v>
      </c>
      <c r="O142" s="249">
        <f>E142+H142+K142+N142</f>
        <v>877</v>
      </c>
    </row>
    <row r="143" spans="1:15" ht="15" customHeight="1">
      <c r="A143" s="1518" t="s">
        <v>1145</v>
      </c>
      <c r="B143" s="1518"/>
      <c r="C143" s="1527"/>
      <c r="D143" s="1527"/>
      <c r="E143" s="1527"/>
      <c r="F143" s="1527"/>
      <c r="G143" s="1527"/>
      <c r="H143" s="1527"/>
      <c r="I143" s="1527"/>
      <c r="J143" s="1527"/>
      <c r="K143" s="1527"/>
      <c r="L143" s="1518"/>
      <c r="M143" s="1518"/>
      <c r="N143" s="1518"/>
      <c r="O143" s="1518"/>
    </row>
    <row r="144" spans="1:15" ht="20.100000000000001" customHeight="1">
      <c r="A144" s="239">
        <v>1</v>
      </c>
      <c r="B144" s="520" t="s">
        <v>457</v>
      </c>
      <c r="C144" s="25"/>
      <c r="D144" s="25"/>
      <c r="E144" s="234">
        <f>C144+D144</f>
        <v>0</v>
      </c>
      <c r="F144" s="25"/>
      <c r="G144" s="25"/>
      <c r="H144" s="234">
        <f>F144+G144</f>
        <v>0</v>
      </c>
      <c r="I144" s="25"/>
      <c r="J144" s="25"/>
      <c r="K144" s="234">
        <f>I144+J144</f>
        <v>0</v>
      </c>
      <c r="L144" s="25"/>
      <c r="M144" s="25"/>
      <c r="N144" s="234">
        <f>L144+M144</f>
        <v>0</v>
      </c>
      <c r="O144" s="238">
        <f t="shared" ref="O144:O150" si="115">+E144+H144+K144+N144</f>
        <v>0</v>
      </c>
    </row>
    <row r="145" spans="1:15" ht="20.100000000000001" customHeight="1">
      <c r="A145" s="240">
        <v>2</v>
      </c>
      <c r="B145" s="790" t="s">
        <v>1146</v>
      </c>
      <c r="C145" s="236">
        <v>15</v>
      </c>
      <c r="D145" s="236">
        <v>20</v>
      </c>
      <c r="E145" s="237">
        <f>C145+D145</f>
        <v>35</v>
      </c>
      <c r="F145" s="236">
        <v>20</v>
      </c>
      <c r="G145" s="236">
        <v>38</v>
      </c>
      <c r="H145" s="237">
        <f>F145+G145</f>
        <v>58</v>
      </c>
      <c r="I145" s="236"/>
      <c r="J145" s="236"/>
      <c r="K145" s="237">
        <f>I145+J145</f>
        <v>0</v>
      </c>
      <c r="L145" s="236"/>
      <c r="M145" s="236"/>
      <c r="N145" s="237">
        <f>L145+M145</f>
        <v>0</v>
      </c>
      <c r="O145" s="238">
        <f t="shared" si="115"/>
        <v>93</v>
      </c>
    </row>
    <row r="146" spans="1:15" ht="20.100000000000001" customHeight="1">
      <c r="A146" s="240">
        <v>3</v>
      </c>
      <c r="B146" s="520" t="s">
        <v>1147</v>
      </c>
      <c r="C146" s="236"/>
      <c r="D146" s="236"/>
      <c r="E146" s="237">
        <f t="shared" ref="E146:E150" si="116">C146+D146</f>
        <v>0</v>
      </c>
      <c r="F146" s="236"/>
      <c r="G146" s="236"/>
      <c r="H146" s="237">
        <f t="shared" ref="H146:H150" si="117">F146+G146</f>
        <v>0</v>
      </c>
      <c r="I146" s="236"/>
      <c r="J146" s="236"/>
      <c r="K146" s="237">
        <f t="shared" ref="K146:K150" si="118">I146+J146</f>
        <v>0</v>
      </c>
      <c r="L146" s="236"/>
      <c r="M146" s="236"/>
      <c r="N146" s="237">
        <f t="shared" ref="N146:N150" si="119">L146+M146</f>
        <v>0</v>
      </c>
      <c r="O146" s="238">
        <f t="shared" si="115"/>
        <v>0</v>
      </c>
    </row>
    <row r="147" spans="1:15" ht="20.100000000000001" customHeight="1">
      <c r="A147" s="240">
        <v>4</v>
      </c>
      <c r="B147" s="520" t="s">
        <v>1148</v>
      </c>
      <c r="C147" s="236"/>
      <c r="D147" s="236"/>
      <c r="E147" s="237">
        <f t="shared" si="116"/>
        <v>0</v>
      </c>
      <c r="F147" s="236"/>
      <c r="G147" s="236"/>
      <c r="H147" s="237">
        <f t="shared" si="117"/>
        <v>0</v>
      </c>
      <c r="I147" s="236"/>
      <c r="J147" s="236"/>
      <c r="K147" s="237">
        <f t="shared" si="118"/>
        <v>0</v>
      </c>
      <c r="L147" s="236"/>
      <c r="M147" s="236"/>
      <c r="N147" s="237">
        <f t="shared" si="119"/>
        <v>0</v>
      </c>
      <c r="O147" s="238">
        <f t="shared" si="115"/>
        <v>0</v>
      </c>
    </row>
    <row r="148" spans="1:15" ht="20.100000000000001" customHeight="1">
      <c r="A148" s="240">
        <v>5</v>
      </c>
      <c r="B148" s="520" t="s">
        <v>513</v>
      </c>
      <c r="C148" s="236"/>
      <c r="D148" s="236"/>
      <c r="E148" s="237">
        <f t="shared" si="116"/>
        <v>0</v>
      </c>
      <c r="F148" s="236"/>
      <c r="G148" s="236"/>
      <c r="H148" s="237">
        <f t="shared" si="117"/>
        <v>0</v>
      </c>
      <c r="I148" s="236"/>
      <c r="J148" s="236"/>
      <c r="K148" s="237">
        <f t="shared" si="118"/>
        <v>0</v>
      </c>
      <c r="L148" s="236"/>
      <c r="M148" s="236"/>
      <c r="N148" s="237">
        <f t="shared" si="119"/>
        <v>0</v>
      </c>
      <c r="O148" s="238">
        <f t="shared" si="115"/>
        <v>0</v>
      </c>
    </row>
    <row r="149" spans="1:15" ht="20.100000000000001" customHeight="1">
      <c r="A149" s="240">
        <v>6</v>
      </c>
      <c r="B149" s="520" t="s">
        <v>427</v>
      </c>
      <c r="C149" s="236"/>
      <c r="D149" s="236"/>
      <c r="E149" s="237">
        <f t="shared" si="116"/>
        <v>0</v>
      </c>
      <c r="F149" s="236"/>
      <c r="G149" s="236"/>
      <c r="H149" s="237">
        <f t="shared" si="117"/>
        <v>0</v>
      </c>
      <c r="I149" s="236"/>
      <c r="J149" s="236"/>
      <c r="K149" s="237">
        <f t="shared" si="118"/>
        <v>0</v>
      </c>
      <c r="L149" s="236"/>
      <c r="M149" s="236"/>
      <c r="N149" s="237">
        <f t="shared" si="119"/>
        <v>0</v>
      </c>
      <c r="O149" s="238">
        <f t="shared" si="115"/>
        <v>0</v>
      </c>
    </row>
    <row r="150" spans="1:15" ht="20.100000000000001" customHeight="1">
      <c r="A150" s="240">
        <v>7</v>
      </c>
      <c r="B150" s="520" t="s">
        <v>1149</v>
      </c>
      <c r="C150" s="236"/>
      <c r="D150" s="236"/>
      <c r="E150" s="237">
        <f t="shared" si="116"/>
        <v>0</v>
      </c>
      <c r="F150" s="236"/>
      <c r="G150" s="236"/>
      <c r="H150" s="237">
        <f t="shared" si="117"/>
        <v>0</v>
      </c>
      <c r="I150" s="236"/>
      <c r="J150" s="236"/>
      <c r="K150" s="237">
        <f t="shared" si="118"/>
        <v>0</v>
      </c>
      <c r="L150" s="236"/>
      <c r="M150" s="236"/>
      <c r="N150" s="237">
        <f t="shared" si="119"/>
        <v>0</v>
      </c>
      <c r="O150" s="238">
        <f t="shared" si="115"/>
        <v>0</v>
      </c>
    </row>
    <row r="151" spans="1:15" ht="20.100000000000001" customHeight="1">
      <c r="A151" s="1512" t="s">
        <v>893</v>
      </c>
      <c r="B151" s="1513"/>
      <c r="C151" s="231">
        <f>SUM(C144:C150)</f>
        <v>15</v>
      </c>
      <c r="D151" s="231">
        <f t="shared" ref="D151" si="120">SUM(D144:D150)</f>
        <v>20</v>
      </c>
      <c r="E151" s="233">
        <f>C151+D151</f>
        <v>35</v>
      </c>
      <c r="F151" s="231">
        <f t="shared" ref="F151:G151" si="121">SUM(F144:F150)</f>
        <v>20</v>
      </c>
      <c r="G151" s="231">
        <f t="shared" si="121"/>
        <v>38</v>
      </c>
      <c r="H151" s="233">
        <f>F151+G151</f>
        <v>58</v>
      </c>
      <c r="I151" s="231">
        <f t="shared" ref="I151:J151" si="122">SUM(I144:I150)</f>
        <v>0</v>
      </c>
      <c r="J151" s="231">
        <f t="shared" si="122"/>
        <v>0</v>
      </c>
      <c r="K151" s="233">
        <f>I151+J151</f>
        <v>0</v>
      </c>
      <c r="L151" s="231">
        <f t="shared" ref="L151:M151" si="123">SUM(L144:L150)</f>
        <v>0</v>
      </c>
      <c r="M151" s="231">
        <f t="shared" si="123"/>
        <v>0</v>
      </c>
      <c r="N151" s="233">
        <f>L151+M151</f>
        <v>0</v>
      </c>
      <c r="O151" s="249">
        <f>E151+H151+K151+N151</f>
        <v>93</v>
      </c>
    </row>
    <row r="152" spans="1:15" ht="15" customHeight="1">
      <c r="A152" s="1518" t="s">
        <v>1150</v>
      </c>
      <c r="B152" s="1518"/>
      <c r="C152" s="1518"/>
      <c r="D152" s="1518"/>
      <c r="E152" s="1518"/>
      <c r="F152" s="1518"/>
      <c r="G152" s="1518"/>
      <c r="H152" s="1518"/>
      <c r="I152" s="1518"/>
      <c r="J152" s="1518"/>
      <c r="K152" s="1518"/>
      <c r="L152" s="1518"/>
      <c r="M152" s="1518"/>
      <c r="N152" s="1518"/>
      <c r="O152" s="1518"/>
    </row>
    <row r="153" spans="1:15" ht="20.100000000000001" customHeight="1">
      <c r="A153" s="239">
        <v>1</v>
      </c>
      <c r="B153" s="520" t="s">
        <v>537</v>
      </c>
      <c r="C153" s="25">
        <v>82</v>
      </c>
      <c r="D153" s="25">
        <v>9</v>
      </c>
      <c r="E153" s="234">
        <f>C153+D153</f>
        <v>91</v>
      </c>
      <c r="F153" s="25">
        <v>37</v>
      </c>
      <c r="G153" s="25">
        <v>12</v>
      </c>
      <c r="H153" s="234">
        <f>F153+G153</f>
        <v>49</v>
      </c>
      <c r="I153" s="25"/>
      <c r="J153" s="25"/>
      <c r="K153" s="234">
        <f>I153+J153</f>
        <v>0</v>
      </c>
      <c r="L153" s="25"/>
      <c r="M153" s="25"/>
      <c r="N153" s="234">
        <f>L153+M153</f>
        <v>0</v>
      </c>
      <c r="O153" s="238">
        <f t="shared" ref="O153:O158" si="124">+E153+H153+K153+N153</f>
        <v>140</v>
      </c>
    </row>
    <row r="154" spans="1:15" ht="20.100000000000001" customHeight="1">
      <c r="A154" s="240">
        <v>2</v>
      </c>
      <c r="B154" s="790" t="s">
        <v>1151</v>
      </c>
      <c r="C154" s="236">
        <v>25</v>
      </c>
      <c r="D154" s="236">
        <v>7</v>
      </c>
      <c r="E154" s="237">
        <f>C154+D154</f>
        <v>32</v>
      </c>
      <c r="F154" s="236">
        <v>81</v>
      </c>
      <c r="G154" s="236">
        <v>2</v>
      </c>
      <c r="H154" s="237">
        <f>F154+G154</f>
        <v>83</v>
      </c>
      <c r="I154" s="236"/>
      <c r="J154" s="236"/>
      <c r="K154" s="237">
        <f>I154+J154</f>
        <v>0</v>
      </c>
      <c r="L154" s="236"/>
      <c r="M154" s="236"/>
      <c r="N154" s="237">
        <f>L154+M154</f>
        <v>0</v>
      </c>
      <c r="O154" s="238">
        <f t="shared" si="124"/>
        <v>115</v>
      </c>
    </row>
    <row r="155" spans="1:15" ht="20.100000000000001" customHeight="1">
      <c r="A155" s="240">
        <v>3</v>
      </c>
      <c r="B155" s="790" t="s">
        <v>504</v>
      </c>
      <c r="C155" s="236">
        <f>15+9+21</f>
        <v>45</v>
      </c>
      <c r="D155" s="236">
        <v>5</v>
      </c>
      <c r="E155" s="237">
        <f t="shared" ref="E155:E157" si="125">C155+D155</f>
        <v>50</v>
      </c>
      <c r="F155" s="236"/>
      <c r="G155" s="236"/>
      <c r="H155" s="237">
        <f t="shared" ref="H155:H157" si="126">F155+G155</f>
        <v>0</v>
      </c>
      <c r="I155" s="236"/>
      <c r="J155" s="236"/>
      <c r="K155" s="237">
        <f t="shared" ref="K155:K157" si="127">I155+J155</f>
        <v>0</v>
      </c>
      <c r="L155" s="236"/>
      <c r="M155" s="236"/>
      <c r="N155" s="237">
        <f t="shared" ref="N155:N157" si="128">L155+M155</f>
        <v>0</v>
      </c>
      <c r="O155" s="238">
        <f t="shared" si="124"/>
        <v>50</v>
      </c>
    </row>
    <row r="156" spans="1:15" ht="20.100000000000001" customHeight="1">
      <c r="A156" s="240">
        <v>4</v>
      </c>
      <c r="B156" s="520" t="s">
        <v>516</v>
      </c>
      <c r="C156" s="236"/>
      <c r="D156" s="236"/>
      <c r="E156" s="237">
        <f t="shared" si="125"/>
        <v>0</v>
      </c>
      <c r="F156" s="236"/>
      <c r="G156" s="236"/>
      <c r="H156" s="237">
        <f t="shared" si="126"/>
        <v>0</v>
      </c>
      <c r="I156" s="236"/>
      <c r="J156" s="236"/>
      <c r="K156" s="237">
        <f t="shared" si="127"/>
        <v>0</v>
      </c>
      <c r="L156" s="236"/>
      <c r="M156" s="236"/>
      <c r="N156" s="237">
        <f t="shared" si="128"/>
        <v>0</v>
      </c>
      <c r="O156" s="238">
        <f t="shared" si="124"/>
        <v>0</v>
      </c>
    </row>
    <row r="157" spans="1:15" ht="20.100000000000001" customHeight="1">
      <c r="A157" s="240">
        <v>5</v>
      </c>
      <c r="B157" s="520" t="s">
        <v>470</v>
      </c>
      <c r="C157" s="236"/>
      <c r="D157" s="236"/>
      <c r="E157" s="237">
        <f t="shared" si="125"/>
        <v>0</v>
      </c>
      <c r="F157" s="236"/>
      <c r="G157" s="236"/>
      <c r="H157" s="237">
        <f t="shared" si="126"/>
        <v>0</v>
      </c>
      <c r="I157" s="236"/>
      <c r="J157" s="236"/>
      <c r="K157" s="237">
        <f t="shared" si="127"/>
        <v>0</v>
      </c>
      <c r="L157" s="236"/>
      <c r="M157" s="236"/>
      <c r="N157" s="237">
        <f t="shared" si="128"/>
        <v>0</v>
      </c>
      <c r="O157" s="238">
        <f t="shared" si="124"/>
        <v>0</v>
      </c>
    </row>
    <row r="158" spans="1:15" ht="20.100000000000001" customHeight="1">
      <c r="A158" s="269">
        <v>6</v>
      </c>
      <c r="B158" s="243"/>
      <c r="C158" s="235"/>
      <c r="D158" s="235"/>
      <c r="E158" s="196">
        <f t="shared" ref="E158" si="129">C158+D158</f>
        <v>0</v>
      </c>
      <c r="F158" s="235"/>
      <c r="G158" s="235"/>
      <c r="H158" s="196">
        <f t="shared" ref="H158" si="130">F158+G158</f>
        <v>0</v>
      </c>
      <c r="I158" s="235"/>
      <c r="J158" s="235"/>
      <c r="K158" s="196">
        <f t="shared" ref="K158" si="131">I158+J158</f>
        <v>0</v>
      </c>
      <c r="L158" s="235"/>
      <c r="M158" s="235"/>
      <c r="N158" s="196">
        <f t="shared" ref="N158" si="132">L158+M158</f>
        <v>0</v>
      </c>
      <c r="O158" s="238">
        <f t="shared" si="124"/>
        <v>0</v>
      </c>
    </row>
    <row r="159" spans="1:15" ht="20.100000000000001" customHeight="1">
      <c r="A159" s="1512" t="s">
        <v>893</v>
      </c>
      <c r="B159" s="1513"/>
      <c r="C159" s="244">
        <f>SUM(C153:C157)</f>
        <v>152</v>
      </c>
      <c r="D159" s="245">
        <f>SUM(D153:D157)</f>
        <v>21</v>
      </c>
      <c r="E159" s="30">
        <f>C159+D159</f>
        <v>173</v>
      </c>
      <c r="F159" s="244">
        <f>SUM(F153:F157)</f>
        <v>118</v>
      </c>
      <c r="G159" s="245">
        <f>SUM(G153:G157)</f>
        <v>14</v>
      </c>
      <c r="H159" s="30">
        <f>F159+G159</f>
        <v>132</v>
      </c>
      <c r="I159" s="244">
        <f>SUM(I153:I157)</f>
        <v>0</v>
      </c>
      <c r="J159" s="245">
        <f>SUM(J153:J157)</f>
        <v>0</v>
      </c>
      <c r="K159" s="30">
        <f>I159+J159</f>
        <v>0</v>
      </c>
      <c r="L159" s="244">
        <f>SUM(L153:L157)</f>
        <v>0</v>
      </c>
      <c r="M159" s="245">
        <f>SUM(M153:M157)</f>
        <v>0</v>
      </c>
      <c r="N159" s="30">
        <f>L159+M159</f>
        <v>0</v>
      </c>
      <c r="O159" s="250">
        <f>E159+H159+K159+N159</f>
        <v>305</v>
      </c>
    </row>
    <row r="160" spans="1:15" ht="15" customHeight="1">
      <c r="A160" s="1476" t="s">
        <v>1010</v>
      </c>
      <c r="B160" s="1478"/>
      <c r="C160" s="27"/>
      <c r="D160" s="27"/>
      <c r="E160" s="28"/>
      <c r="F160" s="27"/>
      <c r="G160" s="27"/>
      <c r="H160" s="28"/>
      <c r="I160" s="27"/>
      <c r="J160" s="27"/>
      <c r="K160" s="28"/>
      <c r="L160" s="27"/>
      <c r="M160" s="27"/>
      <c r="N160" s="28"/>
      <c r="O160" s="27"/>
    </row>
    <row r="161" spans="1:15" ht="20.100000000000001" customHeight="1">
      <c r="A161" s="239">
        <v>1</v>
      </c>
      <c r="B161" s="520" t="s">
        <v>536</v>
      </c>
      <c r="C161" s="236">
        <v>50</v>
      </c>
      <c r="D161" s="236"/>
      <c r="E161" s="237">
        <f>C161+D161</f>
        <v>50</v>
      </c>
      <c r="F161" s="236">
        <v>45</v>
      </c>
      <c r="G161" s="236">
        <v>55</v>
      </c>
      <c r="H161" s="237">
        <f>F161+G161</f>
        <v>100</v>
      </c>
      <c r="I161" s="236">
        <v>0</v>
      </c>
      <c r="J161" s="236">
        <v>0</v>
      </c>
      <c r="K161" s="237">
        <f>I161+J161</f>
        <v>0</v>
      </c>
      <c r="L161" s="236">
        <v>0</v>
      </c>
      <c r="M161" s="236">
        <v>0</v>
      </c>
      <c r="N161" s="237">
        <f>L161+M161</f>
        <v>0</v>
      </c>
      <c r="O161" s="238">
        <f t="shared" ref="O161:O172" si="133">+E161+H161+K161+N161</f>
        <v>150</v>
      </c>
    </row>
    <row r="162" spans="1:15" ht="20.100000000000001" customHeight="1">
      <c r="A162" s="597"/>
      <c r="B162" s="520" t="s">
        <v>1278</v>
      </c>
      <c r="C162" s="236">
        <v>61</v>
      </c>
      <c r="D162" s="236">
        <v>57</v>
      </c>
      <c r="E162" s="237">
        <f>C162+D162</f>
        <v>118</v>
      </c>
      <c r="F162" s="236"/>
      <c r="G162" s="236"/>
      <c r="H162" s="237">
        <f>F162+G162</f>
        <v>0</v>
      </c>
      <c r="I162" s="236"/>
      <c r="J162" s="236"/>
      <c r="K162" s="237">
        <f>I162+J162</f>
        <v>0</v>
      </c>
      <c r="L162" s="236"/>
      <c r="M162" s="236"/>
      <c r="N162" s="237">
        <f>L162+M162</f>
        <v>0</v>
      </c>
      <c r="O162" s="238">
        <f t="shared" si="133"/>
        <v>118</v>
      </c>
    </row>
    <row r="163" spans="1:15" ht="15">
      <c r="A163" s="240">
        <v>2</v>
      </c>
      <c r="B163" s="520" t="s">
        <v>1279</v>
      </c>
      <c r="C163" s="236">
        <v>47</v>
      </c>
      <c r="D163" s="236">
        <v>58</v>
      </c>
      <c r="E163" s="237">
        <f t="shared" ref="E163" si="134">C163+D163</f>
        <v>105</v>
      </c>
      <c r="F163" s="236"/>
      <c r="G163" s="236"/>
      <c r="H163" s="237">
        <f t="shared" ref="H163" si="135">F163+G163</f>
        <v>0</v>
      </c>
      <c r="I163" s="236"/>
      <c r="J163" s="236"/>
      <c r="K163" s="237">
        <f t="shared" ref="K163" si="136">I163+J163</f>
        <v>0</v>
      </c>
      <c r="L163" s="236"/>
      <c r="M163" s="236"/>
      <c r="N163" s="237">
        <f t="shared" ref="N163" si="137">L163+M163</f>
        <v>0</v>
      </c>
      <c r="O163" s="238">
        <f t="shared" si="133"/>
        <v>105</v>
      </c>
    </row>
    <row r="164" spans="1:15" ht="42.75">
      <c r="A164" s="240">
        <v>3</v>
      </c>
      <c r="B164" s="524" t="s">
        <v>1152</v>
      </c>
      <c r="C164" s="236"/>
      <c r="D164" s="236"/>
      <c r="E164" s="237">
        <f t="shared" ref="E164:E173" si="138">C164+D164</f>
        <v>0</v>
      </c>
      <c r="F164" s="236"/>
      <c r="G164" s="236"/>
      <c r="H164" s="237">
        <f t="shared" ref="H164:H173" si="139">F164+G164</f>
        <v>0</v>
      </c>
      <c r="I164" s="236"/>
      <c r="J164" s="236"/>
      <c r="K164" s="237">
        <f t="shared" ref="K164:K173" si="140">I164+J164</f>
        <v>0</v>
      </c>
      <c r="L164" s="236"/>
      <c r="M164" s="236"/>
      <c r="N164" s="237">
        <f t="shared" ref="N164:N173" si="141">L164+M164</f>
        <v>0</v>
      </c>
      <c r="O164" s="238">
        <f t="shared" si="133"/>
        <v>0</v>
      </c>
    </row>
    <row r="165" spans="1:15" ht="28.5">
      <c r="A165" s="240">
        <v>4</v>
      </c>
      <c r="B165" s="790" t="s">
        <v>1153</v>
      </c>
      <c r="C165" s="236">
        <v>17</v>
      </c>
      <c r="D165" s="236">
        <v>1</v>
      </c>
      <c r="E165" s="237">
        <f t="shared" si="138"/>
        <v>18</v>
      </c>
      <c r="F165" s="236"/>
      <c r="G165" s="236"/>
      <c r="H165" s="237">
        <f t="shared" si="139"/>
        <v>0</v>
      </c>
      <c r="I165" s="236"/>
      <c r="J165" s="236"/>
      <c r="K165" s="237">
        <f t="shared" si="140"/>
        <v>0</v>
      </c>
      <c r="L165" s="236"/>
      <c r="M165" s="236"/>
      <c r="N165" s="237">
        <f t="shared" si="141"/>
        <v>0</v>
      </c>
      <c r="O165" s="238">
        <f t="shared" si="133"/>
        <v>18</v>
      </c>
    </row>
    <row r="166" spans="1:15" ht="20.100000000000001" customHeight="1">
      <c r="A166" s="240">
        <v>5</v>
      </c>
      <c r="B166" s="520" t="s">
        <v>1154</v>
      </c>
      <c r="C166" s="236"/>
      <c r="D166" s="236"/>
      <c r="E166" s="237">
        <f t="shared" si="138"/>
        <v>0</v>
      </c>
      <c r="F166" s="236"/>
      <c r="G166" s="236"/>
      <c r="H166" s="237">
        <f t="shared" si="139"/>
        <v>0</v>
      </c>
      <c r="I166" s="236"/>
      <c r="J166" s="236"/>
      <c r="K166" s="237">
        <f t="shared" si="140"/>
        <v>0</v>
      </c>
      <c r="L166" s="236"/>
      <c r="M166" s="236"/>
      <c r="N166" s="237">
        <f t="shared" si="141"/>
        <v>0</v>
      </c>
      <c r="O166" s="238">
        <f t="shared" si="133"/>
        <v>0</v>
      </c>
    </row>
    <row r="167" spans="1:15" ht="20.100000000000001" customHeight="1">
      <c r="A167" s="240">
        <v>6</v>
      </c>
      <c r="B167" s="520" t="s">
        <v>482</v>
      </c>
      <c r="C167" s="236">
        <v>28</v>
      </c>
      <c r="D167" s="236"/>
      <c r="E167" s="237">
        <f t="shared" si="138"/>
        <v>28</v>
      </c>
      <c r="F167" s="236"/>
      <c r="G167" s="236"/>
      <c r="H167" s="237">
        <f t="shared" si="139"/>
        <v>0</v>
      </c>
      <c r="I167" s="236"/>
      <c r="J167" s="236"/>
      <c r="K167" s="237">
        <f t="shared" si="140"/>
        <v>0</v>
      </c>
      <c r="L167" s="236"/>
      <c r="M167" s="236"/>
      <c r="N167" s="237">
        <f t="shared" si="141"/>
        <v>0</v>
      </c>
      <c r="O167" s="238">
        <f t="shared" si="133"/>
        <v>28</v>
      </c>
    </row>
    <row r="168" spans="1:15" ht="20.100000000000001" customHeight="1">
      <c r="A168" s="240">
        <v>7</v>
      </c>
      <c r="B168" s="520" t="s">
        <v>480</v>
      </c>
      <c r="C168" s="236"/>
      <c r="D168" s="236"/>
      <c r="E168" s="237">
        <f t="shared" si="138"/>
        <v>0</v>
      </c>
      <c r="F168" s="236"/>
      <c r="G168" s="236"/>
      <c r="H168" s="237">
        <f t="shared" si="139"/>
        <v>0</v>
      </c>
      <c r="I168" s="236"/>
      <c r="J168" s="236"/>
      <c r="K168" s="237">
        <f t="shared" si="140"/>
        <v>0</v>
      </c>
      <c r="L168" s="236"/>
      <c r="M168" s="236"/>
      <c r="N168" s="237">
        <f t="shared" si="141"/>
        <v>0</v>
      </c>
      <c r="O168" s="238">
        <f t="shared" si="133"/>
        <v>0</v>
      </c>
    </row>
    <row r="169" spans="1:15" ht="28.5">
      <c r="A169" s="240">
        <v>8</v>
      </c>
      <c r="B169" s="790" t="s">
        <v>1155</v>
      </c>
      <c r="C169" s="236">
        <f>32+8+3</f>
        <v>43</v>
      </c>
      <c r="D169" s="236">
        <f>28+16+7</f>
        <v>51</v>
      </c>
      <c r="E169" s="237">
        <f t="shared" si="138"/>
        <v>94</v>
      </c>
      <c r="F169" s="236">
        <v>37</v>
      </c>
      <c r="G169" s="236">
        <v>26</v>
      </c>
      <c r="H169" s="237">
        <f t="shared" si="139"/>
        <v>63</v>
      </c>
      <c r="I169" s="236"/>
      <c r="J169" s="236"/>
      <c r="K169" s="237">
        <f t="shared" si="140"/>
        <v>0</v>
      </c>
      <c r="L169" s="236"/>
      <c r="M169" s="236"/>
      <c r="N169" s="237">
        <f t="shared" si="141"/>
        <v>0</v>
      </c>
      <c r="O169" s="238">
        <f t="shared" si="133"/>
        <v>157</v>
      </c>
    </row>
    <row r="170" spans="1:15" ht="20.100000000000001" customHeight="1">
      <c r="A170" s="240">
        <v>9</v>
      </c>
      <c r="B170" s="520" t="s">
        <v>548</v>
      </c>
      <c r="C170" s="236">
        <v>103</v>
      </c>
      <c r="D170" s="236">
        <v>93</v>
      </c>
      <c r="E170" s="237">
        <f t="shared" si="138"/>
        <v>196</v>
      </c>
      <c r="F170" s="236"/>
      <c r="G170" s="236"/>
      <c r="H170" s="237">
        <f t="shared" si="139"/>
        <v>0</v>
      </c>
      <c r="I170" s="236"/>
      <c r="J170" s="236"/>
      <c r="K170" s="237">
        <f t="shared" si="140"/>
        <v>0</v>
      </c>
      <c r="L170" s="236"/>
      <c r="M170" s="236"/>
      <c r="N170" s="237">
        <f t="shared" si="141"/>
        <v>0</v>
      </c>
      <c r="O170" s="238">
        <f t="shared" si="133"/>
        <v>196</v>
      </c>
    </row>
    <row r="171" spans="1:15" ht="28.5">
      <c r="A171" s="240">
        <v>10</v>
      </c>
      <c r="B171" s="520" t="s">
        <v>1156</v>
      </c>
      <c r="C171" s="236">
        <v>2</v>
      </c>
      <c r="D171" s="236"/>
      <c r="E171" s="237">
        <f t="shared" si="138"/>
        <v>2</v>
      </c>
      <c r="F171" s="236"/>
      <c r="G171" s="236"/>
      <c r="H171" s="237">
        <f t="shared" si="139"/>
        <v>0</v>
      </c>
      <c r="I171" s="236"/>
      <c r="J171" s="236"/>
      <c r="K171" s="237">
        <f t="shared" si="140"/>
        <v>0</v>
      </c>
      <c r="L171" s="236"/>
      <c r="M171" s="236"/>
      <c r="N171" s="237">
        <f t="shared" si="141"/>
        <v>0</v>
      </c>
      <c r="O171" s="238">
        <f t="shared" si="133"/>
        <v>2</v>
      </c>
    </row>
    <row r="172" spans="1:15" ht="15">
      <c r="A172" s="240">
        <v>11</v>
      </c>
      <c r="B172" s="520" t="s">
        <v>1144</v>
      </c>
      <c r="C172" s="236"/>
      <c r="D172" s="236"/>
      <c r="E172" s="237"/>
      <c r="F172" s="236"/>
      <c r="G172" s="236"/>
      <c r="H172" s="237"/>
      <c r="I172" s="236"/>
      <c r="J172" s="236"/>
      <c r="K172" s="237"/>
      <c r="L172" s="236"/>
      <c r="M172" s="236"/>
      <c r="N172" s="237"/>
      <c r="O172" s="238">
        <f t="shared" si="133"/>
        <v>0</v>
      </c>
    </row>
    <row r="173" spans="1:15" ht="20.100000000000001" customHeight="1">
      <c r="A173" s="240">
        <v>12</v>
      </c>
      <c r="B173" s="790" t="s">
        <v>552</v>
      </c>
      <c r="C173" s="236">
        <v>45</v>
      </c>
      <c r="D173" s="236">
        <v>31</v>
      </c>
      <c r="E173" s="237">
        <f t="shared" si="138"/>
        <v>76</v>
      </c>
      <c r="F173" s="236">
        <v>19</v>
      </c>
      <c r="G173" s="236">
        <v>16</v>
      </c>
      <c r="H173" s="237">
        <f t="shared" si="139"/>
        <v>35</v>
      </c>
      <c r="I173" s="236"/>
      <c r="J173" s="236"/>
      <c r="K173" s="237">
        <f t="shared" si="140"/>
        <v>0</v>
      </c>
      <c r="L173" s="236"/>
      <c r="M173" s="236"/>
      <c r="N173" s="237">
        <f t="shared" si="141"/>
        <v>0</v>
      </c>
      <c r="O173" s="238">
        <f t="shared" ref="O173" si="142">+E173+H173+K173+N173</f>
        <v>111</v>
      </c>
    </row>
    <row r="174" spans="1:15" ht="20.100000000000001" customHeight="1">
      <c r="A174" s="1512" t="s">
        <v>893</v>
      </c>
      <c r="B174" s="1513"/>
      <c r="C174" s="252">
        <f>SUM(C161:C173)</f>
        <v>396</v>
      </c>
      <c r="D174" s="253">
        <f>SUM(D161:D173)</f>
        <v>291</v>
      </c>
      <c r="E174" s="254">
        <f>C174+D174</f>
        <v>687</v>
      </c>
      <c r="F174" s="252">
        <f>SUM(F161:F173)</f>
        <v>101</v>
      </c>
      <c r="G174" s="253">
        <f>SUM(G161:G173)</f>
        <v>97</v>
      </c>
      <c r="H174" s="254">
        <f>F174+G174</f>
        <v>198</v>
      </c>
      <c r="I174" s="252">
        <f>SUM(I161:I173)</f>
        <v>0</v>
      </c>
      <c r="J174" s="253">
        <f>SUM(J161:J173)</f>
        <v>0</v>
      </c>
      <c r="K174" s="254">
        <f>I174+J174</f>
        <v>0</v>
      </c>
      <c r="L174" s="252">
        <f>SUM(L161:L173)</f>
        <v>0</v>
      </c>
      <c r="M174" s="253">
        <f>SUM(M161:M173)</f>
        <v>0</v>
      </c>
      <c r="N174" s="254">
        <f>L174+M174</f>
        <v>0</v>
      </c>
      <c r="O174" s="255">
        <f>E174+H174+K174+N174</f>
        <v>885</v>
      </c>
    </row>
    <row r="175" spans="1:15" ht="20.100000000000001" customHeight="1">
      <c r="A175" s="1518" t="s">
        <v>1157</v>
      </c>
      <c r="B175" s="1518"/>
      <c r="C175" s="1518"/>
      <c r="D175" s="1518"/>
      <c r="E175" s="1518"/>
      <c r="F175" s="1518"/>
      <c r="G175" s="1518"/>
      <c r="H175" s="1518"/>
      <c r="I175" s="1518"/>
      <c r="J175" s="1518"/>
      <c r="K175" s="1518"/>
      <c r="L175" s="1518"/>
      <c r="M175" s="1518"/>
      <c r="N175" s="1518"/>
      <c r="O175" s="1518"/>
    </row>
    <row r="176" spans="1:15" ht="28.5">
      <c r="A176" s="239">
        <v>1</v>
      </c>
      <c r="B176" s="790" t="s">
        <v>1158</v>
      </c>
      <c r="C176" s="25"/>
      <c r="D176" s="25">
        <v>77</v>
      </c>
      <c r="E176" s="234">
        <f t="shared" ref="E176:E182" si="143">C176+D176</f>
        <v>77</v>
      </c>
      <c r="F176" s="25"/>
      <c r="G176" s="25"/>
      <c r="H176" s="234">
        <f t="shared" ref="H176:H182" si="144">F176+G176</f>
        <v>0</v>
      </c>
      <c r="I176" s="25"/>
      <c r="J176" s="25"/>
      <c r="K176" s="234">
        <f t="shared" ref="K176:K182" si="145">I176+J176</f>
        <v>0</v>
      </c>
      <c r="L176" s="25"/>
      <c r="M176" s="25"/>
      <c r="N176" s="234">
        <f t="shared" ref="N176:N182" si="146">L176+M176</f>
        <v>0</v>
      </c>
      <c r="O176" s="238">
        <f t="shared" ref="O176:O181" si="147">+E176+H176+K176+N176</f>
        <v>77</v>
      </c>
    </row>
    <row r="177" spans="1:15" ht="28.5">
      <c r="A177" s="240">
        <v>2</v>
      </c>
      <c r="B177" s="790" t="s">
        <v>1159</v>
      </c>
      <c r="C177" s="236">
        <v>66</v>
      </c>
      <c r="D177" s="236">
        <v>7</v>
      </c>
      <c r="E177" s="237">
        <f t="shared" si="143"/>
        <v>73</v>
      </c>
      <c r="F177" s="236">
        <v>68</v>
      </c>
      <c r="G177" s="236">
        <v>8</v>
      </c>
      <c r="H177" s="237">
        <f t="shared" si="144"/>
        <v>76</v>
      </c>
      <c r="I177" s="236"/>
      <c r="J177" s="236"/>
      <c r="K177" s="237">
        <f t="shared" si="145"/>
        <v>0</v>
      </c>
      <c r="L177" s="236"/>
      <c r="M177" s="236"/>
      <c r="N177" s="237">
        <f t="shared" si="146"/>
        <v>0</v>
      </c>
      <c r="O177" s="238">
        <f t="shared" si="147"/>
        <v>149</v>
      </c>
    </row>
    <row r="178" spans="1:15" ht="28.5">
      <c r="A178" s="240">
        <v>3</v>
      </c>
      <c r="B178" s="790" t="s">
        <v>1160</v>
      </c>
      <c r="C178" s="236"/>
      <c r="D178" s="236"/>
      <c r="E178" s="237">
        <f t="shared" si="143"/>
        <v>0</v>
      </c>
      <c r="F178" s="236">
        <v>5</v>
      </c>
      <c r="G178" s="236">
        <v>2</v>
      </c>
      <c r="H178" s="237">
        <f t="shared" si="144"/>
        <v>7</v>
      </c>
      <c r="I178" s="236"/>
      <c r="J178" s="236"/>
      <c r="K178" s="237">
        <f t="shared" si="145"/>
        <v>0</v>
      </c>
      <c r="L178" s="236"/>
      <c r="M178" s="236"/>
      <c r="N178" s="237">
        <f t="shared" si="146"/>
        <v>0</v>
      </c>
      <c r="O178" s="238">
        <f t="shared" si="147"/>
        <v>7</v>
      </c>
    </row>
    <row r="179" spans="1:15" ht="28.5">
      <c r="A179" s="240">
        <v>4</v>
      </c>
      <c r="B179" s="520" t="s">
        <v>1161</v>
      </c>
      <c r="C179" s="236"/>
      <c r="D179" s="236"/>
      <c r="E179" s="237">
        <f t="shared" si="143"/>
        <v>0</v>
      </c>
      <c r="F179" s="236"/>
      <c r="G179" s="236"/>
      <c r="H179" s="237">
        <f t="shared" si="144"/>
        <v>0</v>
      </c>
      <c r="I179" s="236"/>
      <c r="J179" s="236"/>
      <c r="K179" s="237">
        <f t="shared" si="145"/>
        <v>0</v>
      </c>
      <c r="L179" s="236"/>
      <c r="M179" s="236"/>
      <c r="N179" s="237">
        <f t="shared" si="146"/>
        <v>0</v>
      </c>
      <c r="O179" s="238">
        <f t="shared" si="147"/>
        <v>0</v>
      </c>
    </row>
    <row r="180" spans="1:15" ht="28.5">
      <c r="A180" s="240">
        <v>5</v>
      </c>
      <c r="B180" s="520" t="s">
        <v>1162</v>
      </c>
      <c r="C180" s="236"/>
      <c r="D180" s="236"/>
      <c r="E180" s="237">
        <f t="shared" si="143"/>
        <v>0</v>
      </c>
      <c r="F180" s="236"/>
      <c r="G180" s="236"/>
      <c r="H180" s="237">
        <f t="shared" si="144"/>
        <v>0</v>
      </c>
      <c r="I180" s="236"/>
      <c r="J180" s="236"/>
      <c r="K180" s="237">
        <f t="shared" si="145"/>
        <v>0</v>
      </c>
      <c r="L180" s="236"/>
      <c r="M180" s="236"/>
      <c r="N180" s="237">
        <f t="shared" si="146"/>
        <v>0</v>
      </c>
      <c r="O180" s="238">
        <f t="shared" si="147"/>
        <v>0</v>
      </c>
    </row>
    <row r="181" spans="1:15" ht="20.100000000000001" customHeight="1">
      <c r="A181" s="269">
        <v>6</v>
      </c>
      <c r="B181" s="243"/>
      <c r="C181" s="235"/>
      <c r="D181" s="235"/>
      <c r="E181" s="196">
        <f t="shared" si="143"/>
        <v>0</v>
      </c>
      <c r="F181" s="235"/>
      <c r="G181" s="235"/>
      <c r="H181" s="196">
        <f t="shared" si="144"/>
        <v>0</v>
      </c>
      <c r="I181" s="235"/>
      <c r="J181" s="235"/>
      <c r="K181" s="196">
        <f t="shared" si="145"/>
        <v>0</v>
      </c>
      <c r="L181" s="235"/>
      <c r="M181" s="235"/>
      <c r="N181" s="196">
        <f t="shared" si="146"/>
        <v>0</v>
      </c>
      <c r="O181" s="238">
        <f t="shared" si="147"/>
        <v>0</v>
      </c>
    </row>
    <row r="182" spans="1:15" ht="20.100000000000001" customHeight="1">
      <c r="A182" s="1512" t="s">
        <v>893</v>
      </c>
      <c r="B182" s="1513"/>
      <c r="C182" s="244">
        <f>SUM(C176:C180)</f>
        <v>66</v>
      </c>
      <c r="D182" s="245">
        <f>SUM(D176:D180)</f>
        <v>84</v>
      </c>
      <c r="E182" s="30">
        <f t="shared" si="143"/>
        <v>150</v>
      </c>
      <c r="F182" s="244">
        <f>SUM(F176:F180)</f>
        <v>73</v>
      </c>
      <c r="G182" s="245">
        <f>SUM(G176:G180)</f>
        <v>10</v>
      </c>
      <c r="H182" s="30">
        <f t="shared" si="144"/>
        <v>83</v>
      </c>
      <c r="I182" s="244">
        <f>SUM(I176:I180)</f>
        <v>0</v>
      </c>
      <c r="J182" s="245">
        <f>SUM(J176:J180)</f>
        <v>0</v>
      </c>
      <c r="K182" s="30">
        <f t="shared" si="145"/>
        <v>0</v>
      </c>
      <c r="L182" s="244">
        <f>SUM(L176:L180)</f>
        <v>0</v>
      </c>
      <c r="M182" s="245">
        <f>SUM(M176:M180)</f>
        <v>0</v>
      </c>
      <c r="N182" s="30">
        <f t="shared" si="146"/>
        <v>0</v>
      </c>
      <c r="O182" s="250">
        <f>E182+H182+K182+N182</f>
        <v>233</v>
      </c>
    </row>
    <row r="183" spans="1:15" ht="20.100000000000001" customHeight="1">
      <c r="A183" s="1517" t="s">
        <v>878</v>
      </c>
      <c r="B183" s="1517"/>
      <c r="C183" s="1497" t="s">
        <v>1103</v>
      </c>
      <c r="D183" s="1498"/>
      <c r="E183" s="1498"/>
      <c r="F183" s="1498"/>
      <c r="G183" s="1498"/>
      <c r="H183" s="1498"/>
      <c r="I183" s="1499"/>
      <c r="J183" s="1499"/>
      <c r="K183" s="1499"/>
      <c r="L183" s="1499"/>
      <c r="M183" s="1499"/>
      <c r="N183" s="1499"/>
      <c r="O183" s="1500"/>
    </row>
    <row r="184" spans="1:15" ht="20.100000000000001" customHeight="1">
      <c r="A184" s="1517"/>
      <c r="B184" s="1517"/>
      <c r="C184" s="1501" t="s">
        <v>154</v>
      </c>
      <c r="D184" s="1502" t="s">
        <v>155</v>
      </c>
      <c r="E184" s="1503"/>
      <c r="F184" s="1504" t="s">
        <v>156</v>
      </c>
      <c r="G184" s="1505"/>
      <c r="H184" s="1506"/>
      <c r="I184" s="1507" t="s">
        <v>157</v>
      </c>
      <c r="J184" s="1508"/>
      <c r="K184" s="1509"/>
      <c r="L184" s="1501" t="s">
        <v>136</v>
      </c>
      <c r="M184" s="1502"/>
      <c r="N184" s="1503"/>
      <c r="O184" s="1510" t="s">
        <v>138</v>
      </c>
    </row>
    <row r="185" spans="1:15" ht="42" customHeight="1">
      <c r="A185" s="1517"/>
      <c r="B185" s="1517"/>
      <c r="C185" s="229" t="s">
        <v>140</v>
      </c>
      <c r="D185" s="230" t="s">
        <v>141</v>
      </c>
      <c r="E185" s="24" t="s">
        <v>138</v>
      </c>
      <c r="F185" s="229" t="s">
        <v>140</v>
      </c>
      <c r="G185" s="230" t="s">
        <v>141</v>
      </c>
      <c r="H185" s="24" t="s">
        <v>138</v>
      </c>
      <c r="I185" s="229" t="s">
        <v>140</v>
      </c>
      <c r="J185" s="230" t="s">
        <v>141</v>
      </c>
      <c r="K185" s="24" t="s">
        <v>138</v>
      </c>
      <c r="L185" s="229" t="s">
        <v>140</v>
      </c>
      <c r="M185" s="230" t="s">
        <v>141</v>
      </c>
      <c r="N185" s="24" t="s">
        <v>138</v>
      </c>
      <c r="O185" s="1511"/>
    </row>
    <row r="186" spans="1:15" ht="20.100000000000001" customHeight="1">
      <c r="A186" s="1476" t="s">
        <v>879</v>
      </c>
      <c r="B186" s="1478"/>
      <c r="C186" s="27"/>
      <c r="D186" s="27"/>
      <c r="E186" s="28"/>
      <c r="F186" s="27"/>
      <c r="G186" s="27"/>
      <c r="H186" s="28"/>
      <c r="I186" s="27"/>
      <c r="J186" s="27"/>
      <c r="K186" s="28"/>
      <c r="L186" s="27"/>
      <c r="M186" s="27"/>
      <c r="N186" s="28"/>
      <c r="O186" s="27"/>
    </row>
    <row r="187" spans="1:15" ht="20.100000000000001" customHeight="1">
      <c r="A187" s="239">
        <v>1</v>
      </c>
      <c r="B187" s="241"/>
      <c r="C187" s="25"/>
      <c r="D187" s="25"/>
      <c r="E187" s="234">
        <f>C187+D187</f>
        <v>0</v>
      </c>
      <c r="F187" s="25"/>
      <c r="G187" s="25"/>
      <c r="H187" s="234">
        <f>F187+G187</f>
        <v>0</v>
      </c>
      <c r="I187" s="25"/>
      <c r="J187" s="25"/>
      <c r="K187" s="234">
        <f>I187+J187</f>
        <v>0</v>
      </c>
      <c r="L187" s="25"/>
      <c r="M187" s="25"/>
      <c r="N187" s="234">
        <f>L187+M187</f>
        <v>0</v>
      </c>
      <c r="O187" s="26">
        <f>M187+N187</f>
        <v>0</v>
      </c>
    </row>
    <row r="188" spans="1:15" ht="20.100000000000001" customHeight="1">
      <c r="A188" s="240">
        <v>2</v>
      </c>
      <c r="B188" s="242"/>
      <c r="C188" s="236"/>
      <c r="D188" s="236"/>
      <c r="E188" s="237">
        <f>C188+D188</f>
        <v>0</v>
      </c>
      <c r="F188" s="236"/>
      <c r="G188" s="236"/>
      <c r="H188" s="237">
        <f>F188+G188</f>
        <v>0</v>
      </c>
      <c r="I188" s="236"/>
      <c r="J188" s="236"/>
      <c r="K188" s="237">
        <f>I188+J188</f>
        <v>0</v>
      </c>
      <c r="L188" s="236"/>
      <c r="M188" s="236"/>
      <c r="N188" s="237">
        <f>L188+M188</f>
        <v>0</v>
      </c>
      <c r="O188" s="238">
        <f>M188+N188</f>
        <v>0</v>
      </c>
    </row>
    <row r="189" spans="1:15" ht="20.100000000000001" customHeight="1">
      <c r="A189" s="240">
        <v>3</v>
      </c>
      <c r="B189" s="242"/>
      <c r="C189" s="236"/>
      <c r="D189" s="236"/>
      <c r="E189" s="237">
        <f t="shared" ref="E189:E192" si="148">C189+D189</f>
        <v>0</v>
      </c>
      <c r="F189" s="236"/>
      <c r="G189" s="236"/>
      <c r="H189" s="237">
        <f t="shared" ref="H189:H192" si="149">F189+G189</f>
        <v>0</v>
      </c>
      <c r="I189" s="236"/>
      <c r="J189" s="236"/>
      <c r="K189" s="237">
        <f t="shared" ref="K189:K192" si="150">I189+J189</f>
        <v>0</v>
      </c>
      <c r="L189" s="236"/>
      <c r="M189" s="236"/>
      <c r="N189" s="237">
        <f t="shared" ref="N189:N192" si="151">L189+M189</f>
        <v>0</v>
      </c>
      <c r="O189" s="238">
        <f t="shared" ref="O189:O192" si="152">M189+N189</f>
        <v>0</v>
      </c>
    </row>
    <row r="190" spans="1:15" ht="20.100000000000001" customHeight="1">
      <c r="A190" s="240">
        <v>4</v>
      </c>
      <c r="B190" s="242"/>
      <c r="C190" s="236"/>
      <c r="D190" s="236"/>
      <c r="E190" s="237">
        <f t="shared" si="148"/>
        <v>0</v>
      </c>
      <c r="F190" s="236"/>
      <c r="G190" s="236"/>
      <c r="H190" s="237">
        <f t="shared" si="149"/>
        <v>0</v>
      </c>
      <c r="I190" s="236"/>
      <c r="J190" s="236"/>
      <c r="K190" s="237">
        <f t="shared" si="150"/>
        <v>0</v>
      </c>
      <c r="L190" s="236"/>
      <c r="M190" s="236"/>
      <c r="N190" s="237">
        <f t="shared" si="151"/>
        <v>0</v>
      </c>
      <c r="O190" s="238">
        <f t="shared" si="152"/>
        <v>0</v>
      </c>
    </row>
    <row r="191" spans="1:15" ht="20.100000000000001" customHeight="1">
      <c r="A191" s="240">
        <v>5</v>
      </c>
      <c r="B191" s="242"/>
      <c r="C191" s="236"/>
      <c r="D191" s="236"/>
      <c r="E191" s="237">
        <f t="shared" si="148"/>
        <v>0</v>
      </c>
      <c r="F191" s="236"/>
      <c r="G191" s="236"/>
      <c r="H191" s="237">
        <f t="shared" si="149"/>
        <v>0</v>
      </c>
      <c r="I191" s="236"/>
      <c r="J191" s="236"/>
      <c r="K191" s="237">
        <f t="shared" si="150"/>
        <v>0</v>
      </c>
      <c r="L191" s="236"/>
      <c r="M191" s="236"/>
      <c r="N191" s="237">
        <f t="shared" si="151"/>
        <v>0</v>
      </c>
      <c r="O191" s="238">
        <f t="shared" si="152"/>
        <v>0</v>
      </c>
    </row>
    <row r="192" spans="1:15" ht="20.100000000000001" customHeight="1">
      <c r="A192" s="269">
        <v>6</v>
      </c>
      <c r="B192" s="243"/>
      <c r="C192" s="235"/>
      <c r="D192" s="235"/>
      <c r="E192" s="196">
        <f t="shared" si="148"/>
        <v>0</v>
      </c>
      <c r="F192" s="235"/>
      <c r="G192" s="235"/>
      <c r="H192" s="196">
        <f t="shared" si="149"/>
        <v>0</v>
      </c>
      <c r="I192" s="235"/>
      <c r="J192" s="235"/>
      <c r="K192" s="196">
        <f t="shared" si="150"/>
        <v>0</v>
      </c>
      <c r="L192" s="235"/>
      <c r="M192" s="235"/>
      <c r="N192" s="196">
        <f t="shared" si="151"/>
        <v>0</v>
      </c>
      <c r="O192" s="29">
        <f t="shared" si="152"/>
        <v>0</v>
      </c>
    </row>
    <row r="193" spans="1:15" ht="20.100000000000001" customHeight="1">
      <c r="A193" s="1512" t="s">
        <v>893</v>
      </c>
      <c r="B193" s="1513"/>
      <c r="C193" s="231">
        <f>SUM(C187:C191)</f>
        <v>0</v>
      </c>
      <c r="D193" s="232">
        <f>SUM(D187:D191)</f>
        <v>0</v>
      </c>
      <c r="E193" s="233">
        <f>C193+D193</f>
        <v>0</v>
      </c>
      <c r="F193" s="231">
        <f>SUM(F187:F191)</f>
        <v>0</v>
      </c>
      <c r="G193" s="232">
        <f>SUM(G187:G191)</f>
        <v>0</v>
      </c>
      <c r="H193" s="233">
        <f>F193+G193</f>
        <v>0</v>
      </c>
      <c r="I193" s="231">
        <f>SUM(I187:I191)</f>
        <v>0</v>
      </c>
      <c r="J193" s="232">
        <f>SUM(J187:J191)</f>
        <v>0</v>
      </c>
      <c r="K193" s="233">
        <f>I193+J193</f>
        <v>0</v>
      </c>
      <c r="L193" s="231">
        <f>SUM(L187:L191)</f>
        <v>0</v>
      </c>
      <c r="M193" s="232">
        <f>SUM(M187:M191)</f>
        <v>0</v>
      </c>
      <c r="N193" s="233">
        <f>L193+M193</f>
        <v>0</v>
      </c>
      <c r="O193" s="249">
        <f>E193+H193+K193+N193</f>
        <v>0</v>
      </c>
    </row>
    <row r="194" spans="1:15" ht="20.100000000000001" customHeight="1">
      <c r="A194" s="1476" t="s">
        <v>149</v>
      </c>
      <c r="B194" s="1478"/>
      <c r="C194" s="27"/>
      <c r="D194" s="27"/>
      <c r="E194" s="28"/>
      <c r="F194" s="27"/>
      <c r="G194" s="27"/>
      <c r="H194" s="28"/>
      <c r="I194" s="27"/>
      <c r="J194" s="27"/>
      <c r="K194" s="28"/>
      <c r="L194" s="27"/>
      <c r="M194" s="27"/>
      <c r="N194" s="28"/>
      <c r="O194" s="27"/>
    </row>
    <row r="195" spans="1:15" ht="20.100000000000001" customHeight="1">
      <c r="A195" s="239">
        <v>1</v>
      </c>
      <c r="B195" s="241"/>
      <c r="C195" s="25"/>
      <c r="D195" s="25"/>
      <c r="E195" s="234">
        <f>C195+D195</f>
        <v>0</v>
      </c>
      <c r="F195" s="25"/>
      <c r="G195" s="25"/>
      <c r="H195" s="234">
        <f>F195+G195</f>
        <v>0</v>
      </c>
      <c r="I195" s="25"/>
      <c r="J195" s="25"/>
      <c r="K195" s="234">
        <f>I195+J195</f>
        <v>0</v>
      </c>
      <c r="L195" s="25"/>
      <c r="M195" s="25"/>
      <c r="N195" s="234">
        <f>L195+M195</f>
        <v>0</v>
      </c>
      <c r="O195" s="26">
        <f>M195+N195</f>
        <v>0</v>
      </c>
    </row>
    <row r="196" spans="1:15" ht="20.100000000000001" customHeight="1">
      <c r="A196" s="240">
        <v>2</v>
      </c>
      <c r="B196" s="242"/>
      <c r="C196" s="236"/>
      <c r="D196" s="236"/>
      <c r="E196" s="237">
        <f>C196+D196</f>
        <v>0</v>
      </c>
      <c r="F196" s="236"/>
      <c r="G196" s="236"/>
      <c r="H196" s="237">
        <f>F196+G196</f>
        <v>0</v>
      </c>
      <c r="I196" s="236"/>
      <c r="J196" s="236"/>
      <c r="K196" s="237">
        <f>I196+J196</f>
        <v>0</v>
      </c>
      <c r="L196" s="236"/>
      <c r="M196" s="236"/>
      <c r="N196" s="237">
        <f>L196+M196</f>
        <v>0</v>
      </c>
      <c r="O196" s="238">
        <f>M196+N196</f>
        <v>0</v>
      </c>
    </row>
    <row r="197" spans="1:15" ht="20.100000000000001" customHeight="1">
      <c r="A197" s="240">
        <v>3</v>
      </c>
      <c r="B197" s="242"/>
      <c r="C197" s="236"/>
      <c r="D197" s="236"/>
      <c r="E197" s="237">
        <f t="shared" ref="E197:E200" si="153">C197+D197</f>
        <v>0</v>
      </c>
      <c r="F197" s="236"/>
      <c r="G197" s="236"/>
      <c r="H197" s="237">
        <f t="shared" ref="H197:H200" si="154">F197+G197</f>
        <v>0</v>
      </c>
      <c r="I197" s="236"/>
      <c r="J197" s="236"/>
      <c r="K197" s="237">
        <f t="shared" ref="K197:K200" si="155">I197+J197</f>
        <v>0</v>
      </c>
      <c r="L197" s="236"/>
      <c r="M197" s="236"/>
      <c r="N197" s="237">
        <f t="shared" ref="N197:N200" si="156">L197+M197</f>
        <v>0</v>
      </c>
      <c r="O197" s="238">
        <f t="shared" ref="O197:O200" si="157">M197+N197</f>
        <v>0</v>
      </c>
    </row>
    <row r="198" spans="1:15" ht="20.100000000000001" customHeight="1">
      <c r="A198" s="240">
        <v>4</v>
      </c>
      <c r="B198" s="242"/>
      <c r="C198" s="236"/>
      <c r="D198" s="236"/>
      <c r="E198" s="237">
        <f t="shared" si="153"/>
        <v>0</v>
      </c>
      <c r="F198" s="236"/>
      <c r="G198" s="236"/>
      <c r="H198" s="237">
        <f t="shared" si="154"/>
        <v>0</v>
      </c>
      <c r="I198" s="236"/>
      <c r="J198" s="236"/>
      <c r="K198" s="237">
        <f t="shared" si="155"/>
        <v>0</v>
      </c>
      <c r="L198" s="236"/>
      <c r="M198" s="236"/>
      <c r="N198" s="237">
        <f t="shared" si="156"/>
        <v>0</v>
      </c>
      <c r="O198" s="238">
        <f t="shared" si="157"/>
        <v>0</v>
      </c>
    </row>
    <row r="199" spans="1:15" ht="20.100000000000001" customHeight="1">
      <c r="A199" s="240">
        <v>5</v>
      </c>
      <c r="B199" s="242"/>
      <c r="C199" s="236"/>
      <c r="D199" s="236"/>
      <c r="E199" s="237">
        <f t="shared" si="153"/>
        <v>0</v>
      </c>
      <c r="F199" s="236"/>
      <c r="G199" s="236"/>
      <c r="H199" s="237">
        <f t="shared" si="154"/>
        <v>0</v>
      </c>
      <c r="I199" s="236"/>
      <c r="J199" s="236"/>
      <c r="K199" s="237">
        <f t="shared" si="155"/>
        <v>0</v>
      </c>
      <c r="L199" s="236"/>
      <c r="M199" s="236"/>
      <c r="N199" s="237">
        <f t="shared" si="156"/>
        <v>0</v>
      </c>
      <c r="O199" s="238">
        <f t="shared" si="157"/>
        <v>0</v>
      </c>
    </row>
    <row r="200" spans="1:15" ht="20.100000000000001" customHeight="1">
      <c r="A200" s="269">
        <v>6</v>
      </c>
      <c r="B200" s="243"/>
      <c r="C200" s="235"/>
      <c r="D200" s="235"/>
      <c r="E200" s="196">
        <f t="shared" si="153"/>
        <v>0</v>
      </c>
      <c r="F200" s="235"/>
      <c r="G200" s="235"/>
      <c r="H200" s="196">
        <f t="shared" si="154"/>
        <v>0</v>
      </c>
      <c r="I200" s="235"/>
      <c r="J200" s="235"/>
      <c r="K200" s="196">
        <f t="shared" si="155"/>
        <v>0</v>
      </c>
      <c r="L200" s="235"/>
      <c r="M200" s="235"/>
      <c r="N200" s="196">
        <f t="shared" si="156"/>
        <v>0</v>
      </c>
      <c r="O200" s="29">
        <f t="shared" si="157"/>
        <v>0</v>
      </c>
    </row>
    <row r="201" spans="1:15" ht="20.100000000000001" customHeight="1">
      <c r="A201" s="1512" t="s">
        <v>893</v>
      </c>
      <c r="B201" s="1513"/>
      <c r="C201" s="231">
        <f>SUM(C195:C199)</f>
        <v>0</v>
      </c>
      <c r="D201" s="232">
        <f>SUM(D195:D199)</f>
        <v>0</v>
      </c>
      <c r="E201" s="233">
        <f>C201+D201</f>
        <v>0</v>
      </c>
      <c r="F201" s="231">
        <f>SUM(F195:F199)</f>
        <v>0</v>
      </c>
      <c r="G201" s="232">
        <f>SUM(G195:G199)</f>
        <v>0</v>
      </c>
      <c r="H201" s="233">
        <f>F201+G201</f>
        <v>0</v>
      </c>
      <c r="I201" s="231">
        <f>SUM(I195:I199)</f>
        <v>0</v>
      </c>
      <c r="J201" s="232">
        <f>SUM(J195:J199)</f>
        <v>0</v>
      </c>
      <c r="K201" s="233">
        <f>I201+J201</f>
        <v>0</v>
      </c>
      <c r="L201" s="231">
        <f>SUM(L195:L199)</f>
        <v>0</v>
      </c>
      <c r="M201" s="232">
        <f>SUM(M195:M199)</f>
        <v>0</v>
      </c>
      <c r="N201" s="233">
        <f>L201+M201</f>
        <v>0</v>
      </c>
      <c r="O201" s="249">
        <f>E201+H201+K201+N201</f>
        <v>0</v>
      </c>
    </row>
    <row r="202" spans="1:15" ht="20.100000000000001" customHeight="1">
      <c r="A202" s="1476" t="s">
        <v>150</v>
      </c>
      <c r="B202" s="1478"/>
      <c r="C202" s="27"/>
      <c r="D202" s="27"/>
      <c r="E202" s="28"/>
      <c r="F202" s="27"/>
      <c r="G202" s="27"/>
      <c r="H202" s="28"/>
      <c r="I202" s="27"/>
      <c r="J202" s="27"/>
      <c r="K202" s="28"/>
      <c r="L202" s="27"/>
      <c r="M202" s="27"/>
      <c r="N202" s="28"/>
      <c r="O202" s="27"/>
    </row>
    <row r="203" spans="1:15" ht="20.100000000000001" customHeight="1">
      <c r="A203" s="239">
        <v>1</v>
      </c>
      <c r="B203" s="241"/>
      <c r="C203" s="25"/>
      <c r="D203" s="25"/>
      <c r="E203" s="234">
        <f>C203+D203</f>
        <v>0</v>
      </c>
      <c r="F203" s="25"/>
      <c r="G203" s="25"/>
      <c r="H203" s="234">
        <f>F203+G203</f>
        <v>0</v>
      </c>
      <c r="I203" s="25"/>
      <c r="J203" s="25"/>
      <c r="K203" s="234">
        <f>I203+J203</f>
        <v>0</v>
      </c>
      <c r="L203" s="25"/>
      <c r="M203" s="25"/>
      <c r="N203" s="234">
        <f>L203+M203</f>
        <v>0</v>
      </c>
      <c r="O203" s="26">
        <f>M203+N203</f>
        <v>0</v>
      </c>
    </row>
    <row r="204" spans="1:15" ht="20.100000000000001" customHeight="1">
      <c r="A204" s="240">
        <v>2</v>
      </c>
      <c r="B204" s="242"/>
      <c r="C204" s="236"/>
      <c r="D204" s="236"/>
      <c r="E204" s="237">
        <f>C204+D204</f>
        <v>0</v>
      </c>
      <c r="F204" s="236"/>
      <c r="G204" s="236"/>
      <c r="H204" s="237">
        <f>F204+G204</f>
        <v>0</v>
      </c>
      <c r="I204" s="236"/>
      <c r="J204" s="236"/>
      <c r="K204" s="237">
        <f>I204+J204</f>
        <v>0</v>
      </c>
      <c r="L204" s="236"/>
      <c r="M204" s="236"/>
      <c r="N204" s="237">
        <f>L204+M204</f>
        <v>0</v>
      </c>
      <c r="O204" s="238">
        <f>M204+N204</f>
        <v>0</v>
      </c>
    </row>
    <row r="205" spans="1:15" ht="20.100000000000001" customHeight="1">
      <c r="A205" s="240">
        <v>3</v>
      </c>
      <c r="B205" s="242"/>
      <c r="C205" s="236"/>
      <c r="D205" s="236"/>
      <c r="E205" s="237">
        <f t="shared" ref="E205:E208" si="158">C205+D205</f>
        <v>0</v>
      </c>
      <c r="F205" s="236"/>
      <c r="G205" s="236"/>
      <c r="H205" s="237">
        <f t="shared" ref="H205:H208" si="159">F205+G205</f>
        <v>0</v>
      </c>
      <c r="I205" s="236"/>
      <c r="J205" s="236"/>
      <c r="K205" s="237">
        <f t="shared" ref="K205:K208" si="160">I205+J205</f>
        <v>0</v>
      </c>
      <c r="L205" s="236"/>
      <c r="M205" s="236"/>
      <c r="N205" s="237">
        <f t="shared" ref="N205:N208" si="161">L205+M205</f>
        <v>0</v>
      </c>
      <c r="O205" s="238">
        <f t="shared" ref="O205:O208" si="162">M205+N205</f>
        <v>0</v>
      </c>
    </row>
    <row r="206" spans="1:15" ht="20.100000000000001" customHeight="1">
      <c r="A206" s="240">
        <v>4</v>
      </c>
      <c r="B206" s="242"/>
      <c r="C206" s="236"/>
      <c r="D206" s="236"/>
      <c r="E206" s="237">
        <f t="shared" si="158"/>
        <v>0</v>
      </c>
      <c r="F206" s="236"/>
      <c r="G206" s="236"/>
      <c r="H206" s="237">
        <f t="shared" si="159"/>
        <v>0</v>
      </c>
      <c r="I206" s="236"/>
      <c r="J206" s="236"/>
      <c r="K206" s="237">
        <f t="shared" si="160"/>
        <v>0</v>
      </c>
      <c r="L206" s="236"/>
      <c r="M206" s="236"/>
      <c r="N206" s="237">
        <f t="shared" si="161"/>
        <v>0</v>
      </c>
      <c r="O206" s="238">
        <f t="shared" si="162"/>
        <v>0</v>
      </c>
    </row>
    <row r="207" spans="1:15" ht="20.100000000000001" customHeight="1">
      <c r="A207" s="240">
        <v>5</v>
      </c>
      <c r="B207" s="242"/>
      <c r="C207" s="236"/>
      <c r="D207" s="236"/>
      <c r="E207" s="237">
        <f t="shared" si="158"/>
        <v>0</v>
      </c>
      <c r="F207" s="236"/>
      <c r="G207" s="236"/>
      <c r="H207" s="237">
        <f t="shared" si="159"/>
        <v>0</v>
      </c>
      <c r="I207" s="236"/>
      <c r="J207" s="236"/>
      <c r="K207" s="237">
        <f t="shared" si="160"/>
        <v>0</v>
      </c>
      <c r="L207" s="236"/>
      <c r="M207" s="236"/>
      <c r="N207" s="237">
        <f t="shared" si="161"/>
        <v>0</v>
      </c>
      <c r="O207" s="238">
        <f t="shared" si="162"/>
        <v>0</v>
      </c>
    </row>
    <row r="208" spans="1:15" ht="20.100000000000001" customHeight="1">
      <c r="A208" s="269">
        <v>6</v>
      </c>
      <c r="B208" s="243"/>
      <c r="C208" s="235"/>
      <c r="D208" s="235"/>
      <c r="E208" s="196">
        <f t="shared" si="158"/>
        <v>0</v>
      </c>
      <c r="F208" s="235"/>
      <c r="G208" s="235"/>
      <c r="H208" s="196">
        <f t="shared" si="159"/>
        <v>0</v>
      </c>
      <c r="I208" s="235"/>
      <c r="J208" s="235"/>
      <c r="K208" s="196">
        <f t="shared" si="160"/>
        <v>0</v>
      </c>
      <c r="L208" s="235"/>
      <c r="M208" s="235"/>
      <c r="N208" s="196">
        <f t="shared" si="161"/>
        <v>0</v>
      </c>
      <c r="O208" s="29">
        <f t="shared" si="162"/>
        <v>0</v>
      </c>
    </row>
    <row r="209" spans="1:15" ht="20.100000000000001" customHeight="1">
      <c r="A209" s="1512" t="s">
        <v>893</v>
      </c>
      <c r="B209" s="1513"/>
      <c r="C209" s="231">
        <f>SUM(C203:C207)</f>
        <v>0</v>
      </c>
      <c r="D209" s="232">
        <f>SUM(D203:D207)</f>
        <v>0</v>
      </c>
      <c r="E209" s="233">
        <f>C209+D209</f>
        <v>0</v>
      </c>
      <c r="F209" s="231">
        <f>SUM(F203:F207)</f>
        <v>0</v>
      </c>
      <c r="G209" s="232">
        <f>SUM(G203:G207)</f>
        <v>0</v>
      </c>
      <c r="H209" s="233">
        <f>F209+G209</f>
        <v>0</v>
      </c>
      <c r="I209" s="231">
        <f>SUM(I203:I207)</f>
        <v>0</v>
      </c>
      <c r="J209" s="232">
        <f>SUM(J203:J207)</f>
        <v>0</v>
      </c>
      <c r="K209" s="233">
        <f>I209+J209</f>
        <v>0</v>
      </c>
      <c r="L209" s="231">
        <f>SUM(L203:L207)</f>
        <v>0</v>
      </c>
      <c r="M209" s="232">
        <f>SUM(M203:M207)</f>
        <v>0</v>
      </c>
      <c r="N209" s="233">
        <f>L209+M209</f>
        <v>0</v>
      </c>
      <c r="O209" s="249">
        <f>E209+H209+K209+N209</f>
        <v>0</v>
      </c>
    </row>
    <row r="210" spans="1:15" ht="20.100000000000001" customHeight="1">
      <c r="A210" s="1476" t="s">
        <v>151</v>
      </c>
      <c r="B210" s="1478"/>
      <c r="C210" s="27"/>
      <c r="D210" s="27"/>
      <c r="E210" s="28"/>
      <c r="F210" s="27"/>
      <c r="G210" s="27"/>
      <c r="H210" s="28"/>
      <c r="I210" s="27"/>
      <c r="J210" s="27"/>
      <c r="K210" s="28"/>
      <c r="L210" s="27"/>
      <c r="M210" s="27"/>
      <c r="N210" s="28"/>
      <c r="O210" s="27"/>
    </row>
    <row r="211" spans="1:15" ht="20.100000000000001" customHeight="1">
      <c r="A211" s="239">
        <v>1</v>
      </c>
      <c r="B211" s="241"/>
      <c r="C211" s="25"/>
      <c r="D211" s="25"/>
      <c r="E211" s="234">
        <f>C211+D211</f>
        <v>0</v>
      </c>
      <c r="F211" s="25"/>
      <c r="G211" s="25"/>
      <c r="H211" s="234">
        <f>F211+G211</f>
        <v>0</v>
      </c>
      <c r="I211" s="25"/>
      <c r="J211" s="25"/>
      <c r="K211" s="234">
        <f>I211+J211</f>
        <v>0</v>
      </c>
      <c r="L211" s="25"/>
      <c r="M211" s="25"/>
      <c r="N211" s="234">
        <f>L211+M211</f>
        <v>0</v>
      </c>
      <c r="O211" s="26">
        <f>M211+N211</f>
        <v>0</v>
      </c>
    </row>
    <row r="212" spans="1:15" ht="20.100000000000001" customHeight="1">
      <c r="A212" s="240">
        <v>2</v>
      </c>
      <c r="B212" s="242"/>
      <c r="C212" s="236"/>
      <c r="D212" s="236"/>
      <c r="E212" s="237">
        <f>C212+D212</f>
        <v>0</v>
      </c>
      <c r="F212" s="236"/>
      <c r="G212" s="236"/>
      <c r="H212" s="237">
        <f>F212+G212</f>
        <v>0</v>
      </c>
      <c r="I212" s="236"/>
      <c r="J212" s="236"/>
      <c r="K212" s="237">
        <f>I212+J212</f>
        <v>0</v>
      </c>
      <c r="L212" s="236"/>
      <c r="M212" s="236"/>
      <c r="N212" s="237">
        <f>L212+M212</f>
        <v>0</v>
      </c>
      <c r="O212" s="238">
        <f>M212+N212</f>
        <v>0</v>
      </c>
    </row>
    <row r="213" spans="1:15" ht="20.100000000000001" customHeight="1">
      <c r="A213" s="240">
        <v>3</v>
      </c>
      <c r="B213" s="242"/>
      <c r="C213" s="236"/>
      <c r="D213" s="236"/>
      <c r="E213" s="237">
        <f t="shared" ref="E213:E216" si="163">C213+D213</f>
        <v>0</v>
      </c>
      <c r="F213" s="236"/>
      <c r="G213" s="236"/>
      <c r="H213" s="237">
        <f t="shared" ref="H213:H216" si="164">F213+G213</f>
        <v>0</v>
      </c>
      <c r="I213" s="236"/>
      <c r="J213" s="236"/>
      <c r="K213" s="237">
        <f t="shared" ref="K213:K216" si="165">I213+J213</f>
        <v>0</v>
      </c>
      <c r="L213" s="236"/>
      <c r="M213" s="236"/>
      <c r="N213" s="237">
        <f t="shared" ref="N213:N216" si="166">L213+M213</f>
        <v>0</v>
      </c>
      <c r="O213" s="238">
        <f t="shared" ref="O213:O216" si="167">M213+N213</f>
        <v>0</v>
      </c>
    </row>
    <row r="214" spans="1:15" ht="20.100000000000001" customHeight="1">
      <c r="A214" s="240">
        <v>4</v>
      </c>
      <c r="B214" s="242"/>
      <c r="C214" s="236"/>
      <c r="D214" s="236"/>
      <c r="E214" s="237">
        <f t="shared" si="163"/>
        <v>0</v>
      </c>
      <c r="F214" s="236"/>
      <c r="G214" s="236"/>
      <c r="H214" s="237">
        <f t="shared" si="164"/>
        <v>0</v>
      </c>
      <c r="I214" s="236"/>
      <c r="J214" s="236"/>
      <c r="K214" s="237">
        <f t="shared" si="165"/>
        <v>0</v>
      </c>
      <c r="L214" s="236"/>
      <c r="M214" s="236"/>
      <c r="N214" s="237">
        <f t="shared" si="166"/>
        <v>0</v>
      </c>
      <c r="O214" s="238">
        <f t="shared" si="167"/>
        <v>0</v>
      </c>
    </row>
    <row r="215" spans="1:15" ht="20.100000000000001" customHeight="1">
      <c r="A215" s="240">
        <v>5</v>
      </c>
      <c r="B215" s="242"/>
      <c r="C215" s="236"/>
      <c r="D215" s="236"/>
      <c r="E215" s="237">
        <f t="shared" si="163"/>
        <v>0</v>
      </c>
      <c r="F215" s="236"/>
      <c r="G215" s="236"/>
      <c r="H215" s="237">
        <f t="shared" si="164"/>
        <v>0</v>
      </c>
      <c r="I215" s="236"/>
      <c r="J215" s="236"/>
      <c r="K215" s="237">
        <f t="shared" si="165"/>
        <v>0</v>
      </c>
      <c r="L215" s="236"/>
      <c r="M215" s="236"/>
      <c r="N215" s="237">
        <f t="shared" si="166"/>
        <v>0</v>
      </c>
      <c r="O215" s="238">
        <f t="shared" si="167"/>
        <v>0</v>
      </c>
    </row>
    <row r="216" spans="1:15" ht="20.100000000000001" customHeight="1">
      <c r="A216" s="269">
        <v>6</v>
      </c>
      <c r="B216" s="243"/>
      <c r="C216" s="235"/>
      <c r="D216" s="235"/>
      <c r="E216" s="196">
        <f t="shared" si="163"/>
        <v>0</v>
      </c>
      <c r="F216" s="235"/>
      <c r="G216" s="235"/>
      <c r="H216" s="196">
        <f t="shared" si="164"/>
        <v>0</v>
      </c>
      <c r="I216" s="235"/>
      <c r="J216" s="235"/>
      <c r="K216" s="196">
        <f t="shared" si="165"/>
        <v>0</v>
      </c>
      <c r="L216" s="235"/>
      <c r="M216" s="235"/>
      <c r="N216" s="196">
        <f t="shared" si="166"/>
        <v>0</v>
      </c>
      <c r="O216" s="29">
        <f t="shared" si="167"/>
        <v>0</v>
      </c>
    </row>
    <row r="217" spans="1:15" ht="20.100000000000001" customHeight="1">
      <c r="A217" s="1514" t="s">
        <v>893</v>
      </c>
      <c r="B217" s="1515"/>
      <c r="C217" s="231">
        <f>SUM(C211:C215)</f>
        <v>0</v>
      </c>
      <c r="D217" s="232">
        <f>SUM(D211:D215)</f>
        <v>0</v>
      </c>
      <c r="E217" s="233">
        <f>C217+D217</f>
        <v>0</v>
      </c>
      <c r="F217" s="231">
        <f>SUM(F211:F215)</f>
        <v>0</v>
      </c>
      <c r="G217" s="232">
        <f>SUM(G211:G215)</f>
        <v>0</v>
      </c>
      <c r="H217" s="233">
        <f>F217+G217</f>
        <v>0</v>
      </c>
      <c r="I217" s="231">
        <f>SUM(I211:I215)</f>
        <v>0</v>
      </c>
      <c r="J217" s="232">
        <f>SUM(J211:J215)</f>
        <v>0</v>
      </c>
      <c r="K217" s="233">
        <f>I217+J217</f>
        <v>0</v>
      </c>
      <c r="L217" s="231">
        <f>SUM(L211:L215)</f>
        <v>0</v>
      </c>
      <c r="M217" s="232">
        <f>SUM(M211:M215)</f>
        <v>0</v>
      </c>
      <c r="N217" s="233">
        <f>L217+M217</f>
        <v>0</v>
      </c>
      <c r="O217" s="251">
        <f>E217+H217+K217+N217</f>
        <v>0</v>
      </c>
    </row>
    <row r="218" spans="1:15" ht="20.100000000000001" customHeight="1">
      <c r="A218" s="1516" t="s">
        <v>981</v>
      </c>
      <c r="B218" s="1516"/>
      <c r="C218" s="344">
        <f>C126+C142+C151+C159+C174+C193+C201+C209+C217+C182</f>
        <v>1194</v>
      </c>
      <c r="D218" s="344">
        <f t="shared" ref="D218" si="168">D126+D142+D151+D159+D174+D193+D201+D209+D217+D182</f>
        <v>621</v>
      </c>
      <c r="E218" s="344">
        <f>E126+E141+E151+E159+E174+E193+E201+E209+E217+E182</f>
        <v>1099</v>
      </c>
      <c r="F218" s="344">
        <f t="shared" ref="F218:G218" si="169">F126+F142+F151+F159+F174+F193+F201+F209+F217+F182</f>
        <v>426</v>
      </c>
      <c r="G218" s="344">
        <f t="shared" si="169"/>
        <v>199</v>
      </c>
      <c r="H218" s="344">
        <f>H126+H141+H151+H159+H174+H193+H201+H209+H217+H182</f>
        <v>471</v>
      </c>
      <c r="I218" s="344">
        <f t="shared" ref="I218:J218" si="170">I126+I142+I151+I159+I174+I193+I201+I209+I217+I182</f>
        <v>0</v>
      </c>
      <c r="J218" s="344">
        <f t="shared" si="170"/>
        <v>0</v>
      </c>
      <c r="K218" s="344">
        <f>K126+K141+K151+K159+K174+K193+K201+K209+K217+K182</f>
        <v>0</v>
      </c>
      <c r="L218" s="344">
        <f t="shared" ref="L218:M218" si="171">L126+L142+L151+L159+L174+L193+L201+L209+L217+L182</f>
        <v>0</v>
      </c>
      <c r="M218" s="344">
        <f t="shared" si="171"/>
        <v>0</v>
      </c>
      <c r="N218" s="344">
        <f>N126+N141+N151+N159+N174+N193+N201+N209+N217+N182</f>
        <v>0</v>
      </c>
      <c r="O218" s="344">
        <f>O126+O141+O151+O159+O174+O193+O201+O209+O217+O182</f>
        <v>1570</v>
      </c>
    </row>
    <row r="219" spans="1:15" ht="21" customHeight="1">
      <c r="A219" s="1532" t="s">
        <v>982</v>
      </c>
      <c r="B219" s="1532"/>
      <c r="C219" s="343">
        <f t="shared" ref="C219:O219" si="172">C218+C111</f>
        <v>4588</v>
      </c>
      <c r="D219" s="343">
        <f t="shared" si="172"/>
        <v>2943</v>
      </c>
      <c r="E219" s="343">
        <f t="shared" si="172"/>
        <v>6815</v>
      </c>
      <c r="F219" s="343">
        <f t="shared" si="172"/>
        <v>2565</v>
      </c>
      <c r="G219" s="343">
        <f t="shared" si="172"/>
        <v>1620</v>
      </c>
      <c r="H219" s="343">
        <f t="shared" si="172"/>
        <v>4031</v>
      </c>
      <c r="I219" s="343">
        <f t="shared" si="172"/>
        <v>1095</v>
      </c>
      <c r="J219" s="343">
        <f t="shared" si="172"/>
        <v>604</v>
      </c>
      <c r="K219" s="343">
        <f t="shared" si="172"/>
        <v>1699</v>
      </c>
      <c r="L219" s="343">
        <f t="shared" si="172"/>
        <v>625</v>
      </c>
      <c r="M219" s="343">
        <f t="shared" si="172"/>
        <v>252</v>
      </c>
      <c r="N219" s="343">
        <f t="shared" si="172"/>
        <v>877</v>
      </c>
      <c r="O219" s="343">
        <f t="shared" si="172"/>
        <v>13422</v>
      </c>
    </row>
    <row r="221" spans="1:15">
      <c r="N221" s="1">
        <f>6815/4</f>
        <v>1703.75</v>
      </c>
    </row>
    <row r="222" spans="1:15">
      <c r="N222" s="1">
        <f>4031/2</f>
        <v>2015.5</v>
      </c>
    </row>
    <row r="223" spans="1:15">
      <c r="N223" s="972">
        <f>1699/2</f>
        <v>849.5</v>
      </c>
    </row>
    <row r="224" spans="1:15">
      <c r="N224" s="972">
        <f>877/4</f>
        <v>219.25</v>
      </c>
    </row>
    <row r="225" spans="14:15">
      <c r="N225" s="1">
        <f>SUM(N221:N224)</f>
        <v>4788</v>
      </c>
      <c r="O225" s="1">
        <f>N225/13422</f>
        <v>0.356727760393384</v>
      </c>
    </row>
  </sheetData>
  <mergeCells count="85">
    <mergeCell ref="A175:O175"/>
    <mergeCell ref="A182:B182"/>
    <mergeCell ref="N1:O1"/>
    <mergeCell ref="A219:B219"/>
    <mergeCell ref="A2:O2"/>
    <mergeCell ref="B3:H3"/>
    <mergeCell ref="A6:B8"/>
    <mergeCell ref="C6:O6"/>
    <mergeCell ref="C7:E7"/>
    <mergeCell ref="F7:H7"/>
    <mergeCell ref="I7:K7"/>
    <mergeCell ref="L7:N7"/>
    <mergeCell ref="O7:O8"/>
    <mergeCell ref="A9:B9"/>
    <mergeCell ref="C9:E9"/>
    <mergeCell ref="F9:H9"/>
    <mergeCell ref="I9:K9"/>
    <mergeCell ref="L9:N9"/>
    <mergeCell ref="A16:B16"/>
    <mergeCell ref="A17:B17"/>
    <mergeCell ref="A33:B33"/>
    <mergeCell ref="I77:K77"/>
    <mergeCell ref="L77:N77"/>
    <mergeCell ref="O77:O78"/>
    <mergeCell ref="A34:O34"/>
    <mergeCell ref="A43:O43"/>
    <mergeCell ref="A67:O67"/>
    <mergeCell ref="A74:B74"/>
    <mergeCell ref="C76:O76"/>
    <mergeCell ref="A42:B42"/>
    <mergeCell ref="C77:E77"/>
    <mergeCell ref="F77:H77"/>
    <mergeCell ref="A103:B103"/>
    <mergeCell ref="A50:B50"/>
    <mergeCell ref="A51:B51"/>
    <mergeCell ref="A66:B66"/>
    <mergeCell ref="A79:B79"/>
    <mergeCell ref="A86:B86"/>
    <mergeCell ref="A87:B87"/>
    <mergeCell ref="A102:B102"/>
    <mergeCell ref="A94:B94"/>
    <mergeCell ref="A95:B95"/>
    <mergeCell ref="A143:O143"/>
    <mergeCell ref="A152:O152"/>
    <mergeCell ref="A110:B110"/>
    <mergeCell ref="A112:O112"/>
    <mergeCell ref="B113:H113"/>
    <mergeCell ref="C114:O114"/>
    <mergeCell ref="A116:B118"/>
    <mergeCell ref="C116:O116"/>
    <mergeCell ref="C117:E117"/>
    <mergeCell ref="A111:B111"/>
    <mergeCell ref="O117:O118"/>
    <mergeCell ref="F117:H117"/>
    <mergeCell ref="I117:K117"/>
    <mergeCell ref="L117:N117"/>
    <mergeCell ref="A127:B127"/>
    <mergeCell ref="A126:B126"/>
    <mergeCell ref="A119:B119"/>
    <mergeCell ref="C119:E119"/>
    <mergeCell ref="F119:H119"/>
    <mergeCell ref="I119:K119"/>
    <mergeCell ref="L119:N119"/>
    <mergeCell ref="A209:B209"/>
    <mergeCell ref="A210:B210"/>
    <mergeCell ref="A217:B217"/>
    <mergeCell ref="A218:B218"/>
    <mergeCell ref="A76:B78"/>
    <mergeCell ref="A183:B185"/>
    <mergeCell ref="A174:B174"/>
    <mergeCell ref="A186:B186"/>
    <mergeCell ref="A193:B193"/>
    <mergeCell ref="A194:B194"/>
    <mergeCell ref="A201:B201"/>
    <mergeCell ref="A202:B202"/>
    <mergeCell ref="A151:B151"/>
    <mergeCell ref="A142:B142"/>
    <mergeCell ref="A159:B159"/>
    <mergeCell ref="A160:B160"/>
    <mergeCell ref="C183:O183"/>
    <mergeCell ref="C184:E184"/>
    <mergeCell ref="F184:H184"/>
    <mergeCell ref="I184:K184"/>
    <mergeCell ref="L184:N184"/>
    <mergeCell ref="O184:O185"/>
  </mergeCells>
  <printOptions horizontalCentered="1"/>
  <pageMargins left="0.25" right="0.25" top="0.5" bottom="0.5" header="0.5" footer="0.5"/>
  <pageSetup paperSize="9" scale="85" fitToWidth="0" fitToHeight="0" orientation="portrait" r:id="rId1"/>
  <headerFooter alignWithMargins="0"/>
  <rowBreaks count="2" manualBreakCount="2">
    <brk id="111" max="14" man="1"/>
    <brk id="182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21"/>
  <sheetViews>
    <sheetView view="pageBreakPreview" zoomScaleNormal="69" zoomScaleSheetLayoutView="100" workbookViewId="0">
      <pane xSplit="2" ySplit="8" topLeftCell="C210" activePane="bottomRight" state="frozen"/>
      <selection pane="topRight" activeCell="C1" sqref="C1"/>
      <selection pane="bottomLeft" activeCell="A9" sqref="A9"/>
      <selection pane="bottomRight" activeCell="R219" sqref="R219"/>
    </sheetView>
  </sheetViews>
  <sheetFormatPr defaultRowHeight="14.25"/>
  <cols>
    <col min="1" max="1" width="3.7109375" style="227" customWidth="1"/>
    <col min="2" max="2" width="22.7109375" style="186" customWidth="1"/>
    <col min="3" max="3" width="9.85546875" style="1" bestFit="1" customWidth="1"/>
    <col min="4" max="4" width="7.5703125" style="1" customWidth="1"/>
    <col min="5" max="9" width="8.7109375" style="1" bestFit="1" customWidth="1"/>
    <col min="10" max="10" width="7.5703125" style="1" customWidth="1"/>
    <col min="11" max="11" width="8.7109375" style="1" bestFit="1" customWidth="1"/>
    <col min="12" max="14" width="7.5703125" style="1" customWidth="1"/>
    <col min="15" max="15" width="8.5703125" style="1" customWidth="1"/>
    <col min="16" max="16" width="7.5703125" style="1" customWidth="1"/>
    <col min="17" max="17" width="9.28515625" style="1" bestFit="1" customWidth="1"/>
    <col min="18" max="18" width="21.5703125" style="10" customWidth="1"/>
    <col min="19" max="19" width="30.5703125" style="762" customWidth="1"/>
    <col min="20" max="20" width="7.5703125" style="10" bestFit="1" customWidth="1"/>
    <col min="21" max="25" width="14.28515625" style="10" customWidth="1"/>
    <col min="26" max="240" width="9.140625" style="10"/>
    <col min="241" max="241" width="38.5703125" style="10" customWidth="1"/>
    <col min="242" max="242" width="6.5703125" style="10" customWidth="1"/>
    <col min="243" max="243" width="7.7109375" style="10" bestFit="1" customWidth="1"/>
    <col min="244" max="244" width="7.28515625" style="10" customWidth="1"/>
    <col min="245" max="245" width="6.5703125" style="10" bestFit="1" customWidth="1"/>
    <col min="246" max="246" width="7.28515625" style="10" bestFit="1" customWidth="1"/>
    <col min="247" max="247" width="8.140625" style="10" customWidth="1"/>
    <col min="248" max="248" width="7.140625" style="10" customWidth="1"/>
    <col min="249" max="249" width="7.7109375" style="10" bestFit="1" customWidth="1"/>
    <col min="250" max="250" width="7.28515625" style="10" customWidth="1"/>
    <col min="251" max="251" width="7" style="10" customWidth="1"/>
    <col min="252" max="252" width="7.5703125" style="10" customWidth="1"/>
    <col min="253" max="253" width="7.140625" style="10" customWidth="1"/>
    <col min="254" max="254" width="7" style="10" customWidth="1"/>
    <col min="255" max="255" width="7.5703125" style="10" customWidth="1"/>
    <col min="256" max="256" width="7.140625" style="10" customWidth="1"/>
    <col min="257" max="273" width="8.7109375" style="10" customWidth="1"/>
    <col min="274" max="274" width="36.85546875" style="10" customWidth="1"/>
    <col min="275" max="281" width="14.28515625" style="10" customWidth="1"/>
    <col min="282" max="496" width="9.140625" style="10"/>
    <col min="497" max="497" width="38.5703125" style="10" customWidth="1"/>
    <col min="498" max="498" width="6.5703125" style="10" customWidth="1"/>
    <col min="499" max="499" width="7.7109375" style="10" bestFit="1" customWidth="1"/>
    <col min="500" max="500" width="7.28515625" style="10" customWidth="1"/>
    <col min="501" max="501" width="6.5703125" style="10" bestFit="1" customWidth="1"/>
    <col min="502" max="502" width="7.28515625" style="10" bestFit="1" customWidth="1"/>
    <col min="503" max="503" width="8.140625" style="10" customWidth="1"/>
    <col min="504" max="504" width="7.140625" style="10" customWidth="1"/>
    <col min="505" max="505" width="7.7109375" style="10" bestFit="1" customWidth="1"/>
    <col min="506" max="506" width="7.28515625" style="10" customWidth="1"/>
    <col min="507" max="507" width="7" style="10" customWidth="1"/>
    <col min="508" max="508" width="7.5703125" style="10" customWidth="1"/>
    <col min="509" max="509" width="7.140625" style="10" customWidth="1"/>
    <col min="510" max="510" width="7" style="10" customWidth="1"/>
    <col min="511" max="511" width="7.5703125" style="10" customWidth="1"/>
    <col min="512" max="512" width="7.140625" style="10" customWidth="1"/>
    <col min="513" max="529" width="8.7109375" style="10" customWidth="1"/>
    <col min="530" max="530" width="36.85546875" style="10" customWidth="1"/>
    <col min="531" max="537" width="14.28515625" style="10" customWidth="1"/>
    <col min="538" max="752" width="9.140625" style="10"/>
    <col min="753" max="753" width="38.5703125" style="10" customWidth="1"/>
    <col min="754" max="754" width="6.5703125" style="10" customWidth="1"/>
    <col min="755" max="755" width="7.7109375" style="10" bestFit="1" customWidth="1"/>
    <col min="756" max="756" width="7.28515625" style="10" customWidth="1"/>
    <col min="757" max="757" width="6.5703125" style="10" bestFit="1" customWidth="1"/>
    <col min="758" max="758" width="7.28515625" style="10" bestFit="1" customWidth="1"/>
    <col min="759" max="759" width="8.140625" style="10" customWidth="1"/>
    <col min="760" max="760" width="7.140625" style="10" customWidth="1"/>
    <col min="761" max="761" width="7.7109375" style="10" bestFit="1" customWidth="1"/>
    <col min="762" max="762" width="7.28515625" style="10" customWidth="1"/>
    <col min="763" max="763" width="7" style="10" customWidth="1"/>
    <col min="764" max="764" width="7.5703125" style="10" customWidth="1"/>
    <col min="765" max="765" width="7.140625" style="10" customWidth="1"/>
    <col min="766" max="766" width="7" style="10" customWidth="1"/>
    <col min="767" max="767" width="7.5703125" style="10" customWidth="1"/>
    <col min="768" max="768" width="7.140625" style="10" customWidth="1"/>
    <col min="769" max="785" width="8.7109375" style="10" customWidth="1"/>
    <col min="786" max="786" width="36.85546875" style="10" customWidth="1"/>
    <col min="787" max="793" width="14.28515625" style="10" customWidth="1"/>
    <col min="794" max="1008" width="9.140625" style="10"/>
    <col min="1009" max="1009" width="38.5703125" style="10" customWidth="1"/>
    <col min="1010" max="1010" width="6.5703125" style="10" customWidth="1"/>
    <col min="1011" max="1011" width="7.7109375" style="10" bestFit="1" customWidth="1"/>
    <col min="1012" max="1012" width="7.28515625" style="10" customWidth="1"/>
    <col min="1013" max="1013" width="6.5703125" style="10" bestFit="1" customWidth="1"/>
    <col min="1014" max="1014" width="7.28515625" style="10" bestFit="1" customWidth="1"/>
    <col min="1015" max="1015" width="8.140625" style="10" customWidth="1"/>
    <col min="1016" max="1016" width="7.140625" style="10" customWidth="1"/>
    <col min="1017" max="1017" width="7.7109375" style="10" bestFit="1" customWidth="1"/>
    <col min="1018" max="1018" width="7.28515625" style="10" customWidth="1"/>
    <col min="1019" max="1019" width="7" style="10" customWidth="1"/>
    <col min="1020" max="1020" width="7.5703125" style="10" customWidth="1"/>
    <col min="1021" max="1021" width="7.140625" style="10" customWidth="1"/>
    <col min="1022" max="1022" width="7" style="10" customWidth="1"/>
    <col min="1023" max="1023" width="7.5703125" style="10" customWidth="1"/>
    <col min="1024" max="1024" width="7.140625" style="10" customWidth="1"/>
    <col min="1025" max="1041" width="8.7109375" style="10" customWidth="1"/>
    <col min="1042" max="1042" width="36.85546875" style="10" customWidth="1"/>
    <col min="1043" max="1049" width="14.28515625" style="10" customWidth="1"/>
    <col min="1050" max="1264" width="9.140625" style="10"/>
    <col min="1265" max="1265" width="38.5703125" style="10" customWidth="1"/>
    <col min="1266" max="1266" width="6.5703125" style="10" customWidth="1"/>
    <col min="1267" max="1267" width="7.7109375" style="10" bestFit="1" customWidth="1"/>
    <col min="1268" max="1268" width="7.28515625" style="10" customWidth="1"/>
    <col min="1269" max="1269" width="6.5703125" style="10" bestFit="1" customWidth="1"/>
    <col min="1270" max="1270" width="7.28515625" style="10" bestFit="1" customWidth="1"/>
    <col min="1271" max="1271" width="8.140625" style="10" customWidth="1"/>
    <col min="1272" max="1272" width="7.140625" style="10" customWidth="1"/>
    <col min="1273" max="1273" width="7.7109375" style="10" bestFit="1" customWidth="1"/>
    <col min="1274" max="1274" width="7.28515625" style="10" customWidth="1"/>
    <col min="1275" max="1275" width="7" style="10" customWidth="1"/>
    <col min="1276" max="1276" width="7.5703125" style="10" customWidth="1"/>
    <col min="1277" max="1277" width="7.140625" style="10" customWidth="1"/>
    <col min="1278" max="1278" width="7" style="10" customWidth="1"/>
    <col min="1279" max="1279" width="7.5703125" style="10" customWidth="1"/>
    <col min="1280" max="1280" width="7.140625" style="10" customWidth="1"/>
    <col min="1281" max="1297" width="8.7109375" style="10" customWidth="1"/>
    <col min="1298" max="1298" width="36.85546875" style="10" customWidth="1"/>
    <col min="1299" max="1305" width="14.28515625" style="10" customWidth="1"/>
    <col min="1306" max="1520" width="9.140625" style="10"/>
    <col min="1521" max="1521" width="38.5703125" style="10" customWidth="1"/>
    <col min="1522" max="1522" width="6.5703125" style="10" customWidth="1"/>
    <col min="1523" max="1523" width="7.7109375" style="10" bestFit="1" customWidth="1"/>
    <col min="1524" max="1524" width="7.28515625" style="10" customWidth="1"/>
    <col min="1525" max="1525" width="6.5703125" style="10" bestFit="1" customWidth="1"/>
    <col min="1526" max="1526" width="7.28515625" style="10" bestFit="1" customWidth="1"/>
    <col min="1527" max="1527" width="8.140625" style="10" customWidth="1"/>
    <col min="1528" max="1528" width="7.140625" style="10" customWidth="1"/>
    <col min="1529" max="1529" width="7.7109375" style="10" bestFit="1" customWidth="1"/>
    <col min="1530" max="1530" width="7.28515625" style="10" customWidth="1"/>
    <col min="1531" max="1531" width="7" style="10" customWidth="1"/>
    <col min="1532" max="1532" width="7.5703125" style="10" customWidth="1"/>
    <col min="1533" max="1533" width="7.140625" style="10" customWidth="1"/>
    <col min="1534" max="1534" width="7" style="10" customWidth="1"/>
    <col min="1535" max="1535" width="7.5703125" style="10" customWidth="1"/>
    <col min="1536" max="1536" width="7.140625" style="10" customWidth="1"/>
    <col min="1537" max="1553" width="8.7109375" style="10" customWidth="1"/>
    <col min="1554" max="1554" width="36.85546875" style="10" customWidth="1"/>
    <col min="1555" max="1561" width="14.28515625" style="10" customWidth="1"/>
    <col min="1562" max="1776" width="9.140625" style="10"/>
    <col min="1777" max="1777" width="38.5703125" style="10" customWidth="1"/>
    <col min="1778" max="1778" width="6.5703125" style="10" customWidth="1"/>
    <col min="1779" max="1779" width="7.7109375" style="10" bestFit="1" customWidth="1"/>
    <col min="1780" max="1780" width="7.28515625" style="10" customWidth="1"/>
    <col min="1781" max="1781" width="6.5703125" style="10" bestFit="1" customWidth="1"/>
    <col min="1782" max="1782" width="7.28515625" style="10" bestFit="1" customWidth="1"/>
    <col min="1783" max="1783" width="8.140625" style="10" customWidth="1"/>
    <col min="1784" max="1784" width="7.140625" style="10" customWidth="1"/>
    <col min="1785" max="1785" width="7.7109375" style="10" bestFit="1" customWidth="1"/>
    <col min="1786" max="1786" width="7.28515625" style="10" customWidth="1"/>
    <col min="1787" max="1787" width="7" style="10" customWidth="1"/>
    <col min="1788" max="1788" width="7.5703125" style="10" customWidth="1"/>
    <col min="1789" max="1789" width="7.140625" style="10" customWidth="1"/>
    <col min="1790" max="1790" width="7" style="10" customWidth="1"/>
    <col min="1791" max="1791" width="7.5703125" style="10" customWidth="1"/>
    <col min="1792" max="1792" width="7.140625" style="10" customWidth="1"/>
    <col min="1793" max="1809" width="8.7109375" style="10" customWidth="1"/>
    <col min="1810" max="1810" width="36.85546875" style="10" customWidth="1"/>
    <col min="1811" max="1817" width="14.28515625" style="10" customWidth="1"/>
    <col min="1818" max="2032" width="9.140625" style="10"/>
    <col min="2033" max="2033" width="38.5703125" style="10" customWidth="1"/>
    <col min="2034" max="2034" width="6.5703125" style="10" customWidth="1"/>
    <col min="2035" max="2035" width="7.7109375" style="10" bestFit="1" customWidth="1"/>
    <col min="2036" max="2036" width="7.28515625" style="10" customWidth="1"/>
    <col min="2037" max="2037" width="6.5703125" style="10" bestFit="1" customWidth="1"/>
    <col min="2038" max="2038" width="7.28515625" style="10" bestFit="1" customWidth="1"/>
    <col min="2039" max="2039" width="8.140625" style="10" customWidth="1"/>
    <col min="2040" max="2040" width="7.140625" style="10" customWidth="1"/>
    <col min="2041" max="2041" width="7.7109375" style="10" bestFit="1" customWidth="1"/>
    <col min="2042" max="2042" width="7.28515625" style="10" customWidth="1"/>
    <col min="2043" max="2043" width="7" style="10" customWidth="1"/>
    <col min="2044" max="2044" width="7.5703125" style="10" customWidth="1"/>
    <col min="2045" max="2045" width="7.140625" style="10" customWidth="1"/>
    <col min="2046" max="2046" width="7" style="10" customWidth="1"/>
    <col min="2047" max="2047" width="7.5703125" style="10" customWidth="1"/>
    <col min="2048" max="2048" width="7.140625" style="10" customWidth="1"/>
    <col min="2049" max="2065" width="8.7109375" style="10" customWidth="1"/>
    <col min="2066" max="2066" width="36.85546875" style="10" customWidth="1"/>
    <col min="2067" max="2073" width="14.28515625" style="10" customWidth="1"/>
    <col min="2074" max="2288" width="9.140625" style="10"/>
    <col min="2289" max="2289" width="38.5703125" style="10" customWidth="1"/>
    <col min="2290" max="2290" width="6.5703125" style="10" customWidth="1"/>
    <col min="2291" max="2291" width="7.7109375" style="10" bestFit="1" customWidth="1"/>
    <col min="2292" max="2292" width="7.28515625" style="10" customWidth="1"/>
    <col min="2293" max="2293" width="6.5703125" style="10" bestFit="1" customWidth="1"/>
    <col min="2294" max="2294" width="7.28515625" style="10" bestFit="1" customWidth="1"/>
    <col min="2295" max="2295" width="8.140625" style="10" customWidth="1"/>
    <col min="2296" max="2296" width="7.140625" style="10" customWidth="1"/>
    <col min="2297" max="2297" width="7.7109375" style="10" bestFit="1" customWidth="1"/>
    <col min="2298" max="2298" width="7.28515625" style="10" customWidth="1"/>
    <col min="2299" max="2299" width="7" style="10" customWidth="1"/>
    <col min="2300" max="2300" width="7.5703125" style="10" customWidth="1"/>
    <col min="2301" max="2301" width="7.140625" style="10" customWidth="1"/>
    <col min="2302" max="2302" width="7" style="10" customWidth="1"/>
    <col min="2303" max="2303" width="7.5703125" style="10" customWidth="1"/>
    <col min="2304" max="2304" width="7.140625" style="10" customWidth="1"/>
    <col min="2305" max="2321" width="8.7109375" style="10" customWidth="1"/>
    <col min="2322" max="2322" width="36.85546875" style="10" customWidth="1"/>
    <col min="2323" max="2329" width="14.28515625" style="10" customWidth="1"/>
    <col min="2330" max="2544" width="9.140625" style="10"/>
    <col min="2545" max="2545" width="38.5703125" style="10" customWidth="1"/>
    <col min="2546" max="2546" width="6.5703125" style="10" customWidth="1"/>
    <col min="2547" max="2547" width="7.7109375" style="10" bestFit="1" customWidth="1"/>
    <col min="2548" max="2548" width="7.28515625" style="10" customWidth="1"/>
    <col min="2549" max="2549" width="6.5703125" style="10" bestFit="1" customWidth="1"/>
    <col min="2550" max="2550" width="7.28515625" style="10" bestFit="1" customWidth="1"/>
    <col min="2551" max="2551" width="8.140625" style="10" customWidth="1"/>
    <col min="2552" max="2552" width="7.140625" style="10" customWidth="1"/>
    <col min="2553" max="2553" width="7.7109375" style="10" bestFit="1" customWidth="1"/>
    <col min="2554" max="2554" width="7.28515625" style="10" customWidth="1"/>
    <col min="2555" max="2555" width="7" style="10" customWidth="1"/>
    <col min="2556" max="2556" width="7.5703125" style="10" customWidth="1"/>
    <col min="2557" max="2557" width="7.140625" style="10" customWidth="1"/>
    <col min="2558" max="2558" width="7" style="10" customWidth="1"/>
    <col min="2559" max="2559" width="7.5703125" style="10" customWidth="1"/>
    <col min="2560" max="2560" width="7.140625" style="10" customWidth="1"/>
    <col min="2561" max="2577" width="8.7109375" style="10" customWidth="1"/>
    <col min="2578" max="2578" width="36.85546875" style="10" customWidth="1"/>
    <col min="2579" max="2585" width="14.28515625" style="10" customWidth="1"/>
    <col min="2586" max="2800" width="9.140625" style="10"/>
    <col min="2801" max="2801" width="38.5703125" style="10" customWidth="1"/>
    <col min="2802" max="2802" width="6.5703125" style="10" customWidth="1"/>
    <col min="2803" max="2803" width="7.7109375" style="10" bestFit="1" customWidth="1"/>
    <col min="2804" max="2804" width="7.28515625" style="10" customWidth="1"/>
    <col min="2805" max="2805" width="6.5703125" style="10" bestFit="1" customWidth="1"/>
    <col min="2806" max="2806" width="7.28515625" style="10" bestFit="1" customWidth="1"/>
    <col min="2807" max="2807" width="8.140625" style="10" customWidth="1"/>
    <col min="2808" max="2808" width="7.140625" style="10" customWidth="1"/>
    <col min="2809" max="2809" width="7.7109375" style="10" bestFit="1" customWidth="1"/>
    <col min="2810" max="2810" width="7.28515625" style="10" customWidth="1"/>
    <col min="2811" max="2811" width="7" style="10" customWidth="1"/>
    <col min="2812" max="2812" width="7.5703125" style="10" customWidth="1"/>
    <col min="2813" max="2813" width="7.140625" style="10" customWidth="1"/>
    <col min="2814" max="2814" width="7" style="10" customWidth="1"/>
    <col min="2815" max="2815" width="7.5703125" style="10" customWidth="1"/>
    <col min="2816" max="2816" width="7.140625" style="10" customWidth="1"/>
    <col min="2817" max="2833" width="8.7109375" style="10" customWidth="1"/>
    <col min="2834" max="2834" width="36.85546875" style="10" customWidth="1"/>
    <col min="2835" max="2841" width="14.28515625" style="10" customWidth="1"/>
    <col min="2842" max="3056" width="9.140625" style="10"/>
    <col min="3057" max="3057" width="38.5703125" style="10" customWidth="1"/>
    <col min="3058" max="3058" width="6.5703125" style="10" customWidth="1"/>
    <col min="3059" max="3059" width="7.7109375" style="10" bestFit="1" customWidth="1"/>
    <col min="3060" max="3060" width="7.28515625" style="10" customWidth="1"/>
    <col min="3061" max="3061" width="6.5703125" style="10" bestFit="1" customWidth="1"/>
    <col min="3062" max="3062" width="7.28515625" style="10" bestFit="1" customWidth="1"/>
    <col min="3063" max="3063" width="8.140625" style="10" customWidth="1"/>
    <col min="3064" max="3064" width="7.140625" style="10" customWidth="1"/>
    <col min="3065" max="3065" width="7.7109375" style="10" bestFit="1" customWidth="1"/>
    <col min="3066" max="3066" width="7.28515625" style="10" customWidth="1"/>
    <col min="3067" max="3067" width="7" style="10" customWidth="1"/>
    <col min="3068" max="3068" width="7.5703125" style="10" customWidth="1"/>
    <col min="3069" max="3069" width="7.140625" style="10" customWidth="1"/>
    <col min="3070" max="3070" width="7" style="10" customWidth="1"/>
    <col min="3071" max="3071" width="7.5703125" style="10" customWidth="1"/>
    <col min="3072" max="3072" width="7.140625" style="10" customWidth="1"/>
    <col min="3073" max="3089" width="8.7109375" style="10" customWidth="1"/>
    <col min="3090" max="3090" width="36.85546875" style="10" customWidth="1"/>
    <col min="3091" max="3097" width="14.28515625" style="10" customWidth="1"/>
    <col min="3098" max="3312" width="9.140625" style="10"/>
    <col min="3313" max="3313" width="38.5703125" style="10" customWidth="1"/>
    <col min="3314" max="3314" width="6.5703125" style="10" customWidth="1"/>
    <col min="3315" max="3315" width="7.7109375" style="10" bestFit="1" customWidth="1"/>
    <col min="3316" max="3316" width="7.28515625" style="10" customWidth="1"/>
    <col min="3317" max="3317" width="6.5703125" style="10" bestFit="1" customWidth="1"/>
    <col min="3318" max="3318" width="7.28515625" style="10" bestFit="1" customWidth="1"/>
    <col min="3319" max="3319" width="8.140625" style="10" customWidth="1"/>
    <col min="3320" max="3320" width="7.140625" style="10" customWidth="1"/>
    <col min="3321" max="3321" width="7.7109375" style="10" bestFit="1" customWidth="1"/>
    <col min="3322" max="3322" width="7.28515625" style="10" customWidth="1"/>
    <col min="3323" max="3323" width="7" style="10" customWidth="1"/>
    <col min="3324" max="3324" width="7.5703125" style="10" customWidth="1"/>
    <col min="3325" max="3325" width="7.140625" style="10" customWidth="1"/>
    <col min="3326" max="3326" width="7" style="10" customWidth="1"/>
    <col min="3327" max="3327" width="7.5703125" style="10" customWidth="1"/>
    <col min="3328" max="3328" width="7.140625" style="10" customWidth="1"/>
    <col min="3329" max="3345" width="8.7109375" style="10" customWidth="1"/>
    <col min="3346" max="3346" width="36.85546875" style="10" customWidth="1"/>
    <col min="3347" max="3353" width="14.28515625" style="10" customWidth="1"/>
    <col min="3354" max="3568" width="9.140625" style="10"/>
    <col min="3569" max="3569" width="38.5703125" style="10" customWidth="1"/>
    <col min="3570" max="3570" width="6.5703125" style="10" customWidth="1"/>
    <col min="3571" max="3571" width="7.7109375" style="10" bestFit="1" customWidth="1"/>
    <col min="3572" max="3572" width="7.28515625" style="10" customWidth="1"/>
    <col min="3573" max="3573" width="6.5703125" style="10" bestFit="1" customWidth="1"/>
    <col min="3574" max="3574" width="7.28515625" style="10" bestFit="1" customWidth="1"/>
    <col min="3575" max="3575" width="8.140625" style="10" customWidth="1"/>
    <col min="3576" max="3576" width="7.140625" style="10" customWidth="1"/>
    <col min="3577" max="3577" width="7.7109375" style="10" bestFit="1" customWidth="1"/>
    <col min="3578" max="3578" width="7.28515625" style="10" customWidth="1"/>
    <col min="3579" max="3579" width="7" style="10" customWidth="1"/>
    <col min="3580" max="3580" width="7.5703125" style="10" customWidth="1"/>
    <col min="3581" max="3581" width="7.140625" style="10" customWidth="1"/>
    <col min="3582" max="3582" width="7" style="10" customWidth="1"/>
    <col min="3583" max="3583" width="7.5703125" style="10" customWidth="1"/>
    <col min="3584" max="3584" width="7.140625" style="10" customWidth="1"/>
    <col min="3585" max="3601" width="8.7109375" style="10" customWidth="1"/>
    <col min="3602" max="3602" width="36.85546875" style="10" customWidth="1"/>
    <col min="3603" max="3609" width="14.28515625" style="10" customWidth="1"/>
    <col min="3610" max="3824" width="9.140625" style="10"/>
    <col min="3825" max="3825" width="38.5703125" style="10" customWidth="1"/>
    <col min="3826" max="3826" width="6.5703125" style="10" customWidth="1"/>
    <col min="3827" max="3827" width="7.7109375" style="10" bestFit="1" customWidth="1"/>
    <col min="3828" max="3828" width="7.28515625" style="10" customWidth="1"/>
    <col min="3829" max="3829" width="6.5703125" style="10" bestFit="1" customWidth="1"/>
    <col min="3830" max="3830" width="7.28515625" style="10" bestFit="1" customWidth="1"/>
    <col min="3831" max="3831" width="8.140625" style="10" customWidth="1"/>
    <col min="3832" max="3832" width="7.140625" style="10" customWidth="1"/>
    <col min="3833" max="3833" width="7.7109375" style="10" bestFit="1" customWidth="1"/>
    <col min="3834" max="3834" width="7.28515625" style="10" customWidth="1"/>
    <col min="3835" max="3835" width="7" style="10" customWidth="1"/>
    <col min="3836" max="3836" width="7.5703125" style="10" customWidth="1"/>
    <col min="3837" max="3837" width="7.140625" style="10" customWidth="1"/>
    <col min="3838" max="3838" width="7" style="10" customWidth="1"/>
    <col min="3839" max="3839" width="7.5703125" style="10" customWidth="1"/>
    <col min="3840" max="3840" width="7.140625" style="10" customWidth="1"/>
    <col min="3841" max="3857" width="8.7109375" style="10" customWidth="1"/>
    <col min="3858" max="3858" width="36.85546875" style="10" customWidth="1"/>
    <col min="3859" max="3865" width="14.28515625" style="10" customWidth="1"/>
    <col min="3866" max="4080" width="9.140625" style="10"/>
    <col min="4081" max="4081" width="38.5703125" style="10" customWidth="1"/>
    <col min="4082" max="4082" width="6.5703125" style="10" customWidth="1"/>
    <col min="4083" max="4083" width="7.7109375" style="10" bestFit="1" customWidth="1"/>
    <col min="4084" max="4084" width="7.28515625" style="10" customWidth="1"/>
    <col min="4085" max="4085" width="6.5703125" style="10" bestFit="1" customWidth="1"/>
    <col min="4086" max="4086" width="7.28515625" style="10" bestFit="1" customWidth="1"/>
    <col min="4087" max="4087" width="8.140625" style="10" customWidth="1"/>
    <col min="4088" max="4088" width="7.140625" style="10" customWidth="1"/>
    <col min="4089" max="4089" width="7.7109375" style="10" bestFit="1" customWidth="1"/>
    <col min="4090" max="4090" width="7.28515625" style="10" customWidth="1"/>
    <col min="4091" max="4091" width="7" style="10" customWidth="1"/>
    <col min="4092" max="4092" width="7.5703125" style="10" customWidth="1"/>
    <col min="4093" max="4093" width="7.140625" style="10" customWidth="1"/>
    <col min="4094" max="4094" width="7" style="10" customWidth="1"/>
    <col min="4095" max="4095" width="7.5703125" style="10" customWidth="1"/>
    <col min="4096" max="4096" width="7.140625" style="10" customWidth="1"/>
    <col min="4097" max="4113" width="8.7109375" style="10" customWidth="1"/>
    <col min="4114" max="4114" width="36.85546875" style="10" customWidth="1"/>
    <col min="4115" max="4121" width="14.28515625" style="10" customWidth="1"/>
    <col min="4122" max="4336" width="9.140625" style="10"/>
    <col min="4337" max="4337" width="38.5703125" style="10" customWidth="1"/>
    <col min="4338" max="4338" width="6.5703125" style="10" customWidth="1"/>
    <col min="4339" max="4339" width="7.7109375" style="10" bestFit="1" customWidth="1"/>
    <col min="4340" max="4340" width="7.28515625" style="10" customWidth="1"/>
    <col min="4341" max="4341" width="6.5703125" style="10" bestFit="1" customWidth="1"/>
    <col min="4342" max="4342" width="7.28515625" style="10" bestFit="1" customWidth="1"/>
    <col min="4343" max="4343" width="8.140625" style="10" customWidth="1"/>
    <col min="4344" max="4344" width="7.140625" style="10" customWidth="1"/>
    <col min="4345" max="4345" width="7.7109375" style="10" bestFit="1" customWidth="1"/>
    <col min="4346" max="4346" width="7.28515625" style="10" customWidth="1"/>
    <col min="4347" max="4347" width="7" style="10" customWidth="1"/>
    <col min="4348" max="4348" width="7.5703125" style="10" customWidth="1"/>
    <col min="4349" max="4349" width="7.140625" style="10" customWidth="1"/>
    <col min="4350" max="4350" width="7" style="10" customWidth="1"/>
    <col min="4351" max="4351" width="7.5703125" style="10" customWidth="1"/>
    <col min="4352" max="4352" width="7.140625" style="10" customWidth="1"/>
    <col min="4353" max="4369" width="8.7109375" style="10" customWidth="1"/>
    <col min="4370" max="4370" width="36.85546875" style="10" customWidth="1"/>
    <col min="4371" max="4377" width="14.28515625" style="10" customWidth="1"/>
    <col min="4378" max="4592" width="9.140625" style="10"/>
    <col min="4593" max="4593" width="38.5703125" style="10" customWidth="1"/>
    <col min="4594" max="4594" width="6.5703125" style="10" customWidth="1"/>
    <col min="4595" max="4595" width="7.7109375" style="10" bestFit="1" customWidth="1"/>
    <col min="4596" max="4596" width="7.28515625" style="10" customWidth="1"/>
    <col min="4597" max="4597" width="6.5703125" style="10" bestFit="1" customWidth="1"/>
    <col min="4598" max="4598" width="7.28515625" style="10" bestFit="1" customWidth="1"/>
    <col min="4599" max="4599" width="8.140625" style="10" customWidth="1"/>
    <col min="4600" max="4600" width="7.140625" style="10" customWidth="1"/>
    <col min="4601" max="4601" width="7.7109375" style="10" bestFit="1" customWidth="1"/>
    <col min="4602" max="4602" width="7.28515625" style="10" customWidth="1"/>
    <col min="4603" max="4603" width="7" style="10" customWidth="1"/>
    <col min="4604" max="4604" width="7.5703125" style="10" customWidth="1"/>
    <col min="4605" max="4605" width="7.140625" style="10" customWidth="1"/>
    <col min="4606" max="4606" width="7" style="10" customWidth="1"/>
    <col min="4607" max="4607" width="7.5703125" style="10" customWidth="1"/>
    <col min="4608" max="4608" width="7.140625" style="10" customWidth="1"/>
    <col min="4609" max="4625" width="8.7109375" style="10" customWidth="1"/>
    <col min="4626" max="4626" width="36.85546875" style="10" customWidth="1"/>
    <col min="4627" max="4633" width="14.28515625" style="10" customWidth="1"/>
    <col min="4634" max="4848" width="9.140625" style="10"/>
    <col min="4849" max="4849" width="38.5703125" style="10" customWidth="1"/>
    <col min="4850" max="4850" width="6.5703125" style="10" customWidth="1"/>
    <col min="4851" max="4851" width="7.7109375" style="10" bestFit="1" customWidth="1"/>
    <col min="4852" max="4852" width="7.28515625" style="10" customWidth="1"/>
    <col min="4853" max="4853" width="6.5703125" style="10" bestFit="1" customWidth="1"/>
    <col min="4854" max="4854" width="7.28515625" style="10" bestFit="1" customWidth="1"/>
    <col min="4855" max="4855" width="8.140625" style="10" customWidth="1"/>
    <col min="4856" max="4856" width="7.140625" style="10" customWidth="1"/>
    <col min="4857" max="4857" width="7.7109375" style="10" bestFit="1" customWidth="1"/>
    <col min="4858" max="4858" width="7.28515625" style="10" customWidth="1"/>
    <col min="4859" max="4859" width="7" style="10" customWidth="1"/>
    <col min="4860" max="4860" width="7.5703125" style="10" customWidth="1"/>
    <col min="4861" max="4861" width="7.140625" style="10" customWidth="1"/>
    <col min="4862" max="4862" width="7" style="10" customWidth="1"/>
    <col min="4863" max="4863" width="7.5703125" style="10" customWidth="1"/>
    <col min="4864" max="4864" width="7.140625" style="10" customWidth="1"/>
    <col min="4865" max="4881" width="8.7109375" style="10" customWidth="1"/>
    <col min="4882" max="4882" width="36.85546875" style="10" customWidth="1"/>
    <col min="4883" max="4889" width="14.28515625" style="10" customWidth="1"/>
    <col min="4890" max="5104" width="9.140625" style="10"/>
    <col min="5105" max="5105" width="38.5703125" style="10" customWidth="1"/>
    <col min="5106" max="5106" width="6.5703125" style="10" customWidth="1"/>
    <col min="5107" max="5107" width="7.7109375" style="10" bestFit="1" customWidth="1"/>
    <col min="5108" max="5108" width="7.28515625" style="10" customWidth="1"/>
    <col min="5109" max="5109" width="6.5703125" style="10" bestFit="1" customWidth="1"/>
    <col min="5110" max="5110" width="7.28515625" style="10" bestFit="1" customWidth="1"/>
    <col min="5111" max="5111" width="8.140625" style="10" customWidth="1"/>
    <col min="5112" max="5112" width="7.140625" style="10" customWidth="1"/>
    <col min="5113" max="5113" width="7.7109375" style="10" bestFit="1" customWidth="1"/>
    <col min="5114" max="5114" width="7.28515625" style="10" customWidth="1"/>
    <col min="5115" max="5115" width="7" style="10" customWidth="1"/>
    <col min="5116" max="5116" width="7.5703125" style="10" customWidth="1"/>
    <col min="5117" max="5117" width="7.140625" style="10" customWidth="1"/>
    <col min="5118" max="5118" width="7" style="10" customWidth="1"/>
    <col min="5119" max="5119" width="7.5703125" style="10" customWidth="1"/>
    <col min="5120" max="5120" width="7.140625" style="10" customWidth="1"/>
    <col min="5121" max="5137" width="8.7109375" style="10" customWidth="1"/>
    <col min="5138" max="5138" width="36.85546875" style="10" customWidth="1"/>
    <col min="5139" max="5145" width="14.28515625" style="10" customWidth="1"/>
    <col min="5146" max="5360" width="9.140625" style="10"/>
    <col min="5361" max="5361" width="38.5703125" style="10" customWidth="1"/>
    <col min="5362" max="5362" width="6.5703125" style="10" customWidth="1"/>
    <col min="5363" max="5363" width="7.7109375" style="10" bestFit="1" customWidth="1"/>
    <col min="5364" max="5364" width="7.28515625" style="10" customWidth="1"/>
    <col min="5365" max="5365" width="6.5703125" style="10" bestFit="1" customWidth="1"/>
    <col min="5366" max="5366" width="7.28515625" style="10" bestFit="1" customWidth="1"/>
    <col min="5367" max="5367" width="8.140625" style="10" customWidth="1"/>
    <col min="5368" max="5368" width="7.140625" style="10" customWidth="1"/>
    <col min="5369" max="5369" width="7.7109375" style="10" bestFit="1" customWidth="1"/>
    <col min="5370" max="5370" width="7.28515625" style="10" customWidth="1"/>
    <col min="5371" max="5371" width="7" style="10" customWidth="1"/>
    <col min="5372" max="5372" width="7.5703125" style="10" customWidth="1"/>
    <col min="5373" max="5373" width="7.140625" style="10" customWidth="1"/>
    <col min="5374" max="5374" width="7" style="10" customWidth="1"/>
    <col min="5375" max="5375" width="7.5703125" style="10" customWidth="1"/>
    <col min="5376" max="5376" width="7.140625" style="10" customWidth="1"/>
    <col min="5377" max="5393" width="8.7109375" style="10" customWidth="1"/>
    <col min="5394" max="5394" width="36.85546875" style="10" customWidth="1"/>
    <col min="5395" max="5401" width="14.28515625" style="10" customWidth="1"/>
    <col min="5402" max="5616" width="9.140625" style="10"/>
    <col min="5617" max="5617" width="38.5703125" style="10" customWidth="1"/>
    <col min="5618" max="5618" width="6.5703125" style="10" customWidth="1"/>
    <col min="5619" max="5619" width="7.7109375" style="10" bestFit="1" customWidth="1"/>
    <col min="5620" max="5620" width="7.28515625" style="10" customWidth="1"/>
    <col min="5621" max="5621" width="6.5703125" style="10" bestFit="1" customWidth="1"/>
    <col min="5622" max="5622" width="7.28515625" style="10" bestFit="1" customWidth="1"/>
    <col min="5623" max="5623" width="8.140625" style="10" customWidth="1"/>
    <col min="5624" max="5624" width="7.140625" style="10" customWidth="1"/>
    <col min="5625" max="5625" width="7.7109375" style="10" bestFit="1" customWidth="1"/>
    <col min="5626" max="5626" width="7.28515625" style="10" customWidth="1"/>
    <col min="5627" max="5627" width="7" style="10" customWidth="1"/>
    <col min="5628" max="5628" width="7.5703125" style="10" customWidth="1"/>
    <col min="5629" max="5629" width="7.140625" style="10" customWidth="1"/>
    <col min="5630" max="5630" width="7" style="10" customWidth="1"/>
    <col min="5631" max="5631" width="7.5703125" style="10" customWidth="1"/>
    <col min="5632" max="5632" width="7.140625" style="10" customWidth="1"/>
    <col min="5633" max="5649" width="8.7109375" style="10" customWidth="1"/>
    <col min="5650" max="5650" width="36.85546875" style="10" customWidth="1"/>
    <col min="5651" max="5657" width="14.28515625" style="10" customWidth="1"/>
    <col min="5658" max="5872" width="9.140625" style="10"/>
    <col min="5873" max="5873" width="38.5703125" style="10" customWidth="1"/>
    <col min="5874" max="5874" width="6.5703125" style="10" customWidth="1"/>
    <col min="5875" max="5875" width="7.7109375" style="10" bestFit="1" customWidth="1"/>
    <col min="5876" max="5876" width="7.28515625" style="10" customWidth="1"/>
    <col min="5877" max="5877" width="6.5703125" style="10" bestFit="1" customWidth="1"/>
    <col min="5878" max="5878" width="7.28515625" style="10" bestFit="1" customWidth="1"/>
    <col min="5879" max="5879" width="8.140625" style="10" customWidth="1"/>
    <col min="5880" max="5880" width="7.140625" style="10" customWidth="1"/>
    <col min="5881" max="5881" width="7.7109375" style="10" bestFit="1" customWidth="1"/>
    <col min="5882" max="5882" width="7.28515625" style="10" customWidth="1"/>
    <col min="5883" max="5883" width="7" style="10" customWidth="1"/>
    <col min="5884" max="5884" width="7.5703125" style="10" customWidth="1"/>
    <col min="5885" max="5885" width="7.140625" style="10" customWidth="1"/>
    <col min="5886" max="5886" width="7" style="10" customWidth="1"/>
    <col min="5887" max="5887" width="7.5703125" style="10" customWidth="1"/>
    <col min="5888" max="5888" width="7.140625" style="10" customWidth="1"/>
    <col min="5889" max="5905" width="8.7109375" style="10" customWidth="1"/>
    <col min="5906" max="5906" width="36.85546875" style="10" customWidth="1"/>
    <col min="5907" max="5913" width="14.28515625" style="10" customWidth="1"/>
    <col min="5914" max="6128" width="9.140625" style="10"/>
    <col min="6129" max="6129" width="38.5703125" style="10" customWidth="1"/>
    <col min="6130" max="6130" width="6.5703125" style="10" customWidth="1"/>
    <col min="6131" max="6131" width="7.7109375" style="10" bestFit="1" customWidth="1"/>
    <col min="6132" max="6132" width="7.28515625" style="10" customWidth="1"/>
    <col min="6133" max="6133" width="6.5703125" style="10" bestFit="1" customWidth="1"/>
    <col min="6134" max="6134" width="7.28515625" style="10" bestFit="1" customWidth="1"/>
    <col min="6135" max="6135" width="8.140625" style="10" customWidth="1"/>
    <col min="6136" max="6136" width="7.140625" style="10" customWidth="1"/>
    <col min="6137" max="6137" width="7.7109375" style="10" bestFit="1" customWidth="1"/>
    <col min="6138" max="6138" width="7.28515625" style="10" customWidth="1"/>
    <col min="6139" max="6139" width="7" style="10" customWidth="1"/>
    <col min="6140" max="6140" width="7.5703125" style="10" customWidth="1"/>
    <col min="6141" max="6141" width="7.140625" style="10" customWidth="1"/>
    <col min="6142" max="6142" width="7" style="10" customWidth="1"/>
    <col min="6143" max="6143" width="7.5703125" style="10" customWidth="1"/>
    <col min="6144" max="6144" width="7.140625" style="10" customWidth="1"/>
    <col min="6145" max="6161" width="8.7109375" style="10" customWidth="1"/>
    <col min="6162" max="6162" width="36.85546875" style="10" customWidth="1"/>
    <col min="6163" max="6169" width="14.28515625" style="10" customWidth="1"/>
    <col min="6170" max="6384" width="9.140625" style="10"/>
    <col min="6385" max="6385" width="38.5703125" style="10" customWidth="1"/>
    <col min="6386" max="6386" width="6.5703125" style="10" customWidth="1"/>
    <col min="6387" max="6387" width="7.7109375" style="10" bestFit="1" customWidth="1"/>
    <col min="6388" max="6388" width="7.28515625" style="10" customWidth="1"/>
    <col min="6389" max="6389" width="6.5703125" style="10" bestFit="1" customWidth="1"/>
    <col min="6390" max="6390" width="7.28515625" style="10" bestFit="1" customWidth="1"/>
    <col min="6391" max="6391" width="8.140625" style="10" customWidth="1"/>
    <col min="6392" max="6392" width="7.140625" style="10" customWidth="1"/>
    <col min="6393" max="6393" width="7.7109375" style="10" bestFit="1" customWidth="1"/>
    <col min="6394" max="6394" width="7.28515625" style="10" customWidth="1"/>
    <col min="6395" max="6395" width="7" style="10" customWidth="1"/>
    <col min="6396" max="6396" width="7.5703125" style="10" customWidth="1"/>
    <col min="6397" max="6397" width="7.140625" style="10" customWidth="1"/>
    <col min="6398" max="6398" width="7" style="10" customWidth="1"/>
    <col min="6399" max="6399" width="7.5703125" style="10" customWidth="1"/>
    <col min="6400" max="6400" width="7.140625" style="10" customWidth="1"/>
    <col min="6401" max="6417" width="8.7109375" style="10" customWidth="1"/>
    <col min="6418" max="6418" width="36.85546875" style="10" customWidth="1"/>
    <col min="6419" max="6425" width="14.28515625" style="10" customWidth="1"/>
    <col min="6426" max="6640" width="9.140625" style="10"/>
    <col min="6641" max="6641" width="38.5703125" style="10" customWidth="1"/>
    <col min="6642" max="6642" width="6.5703125" style="10" customWidth="1"/>
    <col min="6643" max="6643" width="7.7109375" style="10" bestFit="1" customWidth="1"/>
    <col min="6644" max="6644" width="7.28515625" style="10" customWidth="1"/>
    <col min="6645" max="6645" width="6.5703125" style="10" bestFit="1" customWidth="1"/>
    <col min="6646" max="6646" width="7.28515625" style="10" bestFit="1" customWidth="1"/>
    <col min="6647" max="6647" width="8.140625" style="10" customWidth="1"/>
    <col min="6648" max="6648" width="7.140625" style="10" customWidth="1"/>
    <col min="6649" max="6649" width="7.7109375" style="10" bestFit="1" customWidth="1"/>
    <col min="6650" max="6650" width="7.28515625" style="10" customWidth="1"/>
    <col min="6651" max="6651" width="7" style="10" customWidth="1"/>
    <col min="6652" max="6652" width="7.5703125" style="10" customWidth="1"/>
    <col min="6653" max="6653" width="7.140625" style="10" customWidth="1"/>
    <col min="6654" max="6654" width="7" style="10" customWidth="1"/>
    <col min="6655" max="6655" width="7.5703125" style="10" customWidth="1"/>
    <col min="6656" max="6656" width="7.140625" style="10" customWidth="1"/>
    <col min="6657" max="6673" width="8.7109375" style="10" customWidth="1"/>
    <col min="6674" max="6674" width="36.85546875" style="10" customWidth="1"/>
    <col min="6675" max="6681" width="14.28515625" style="10" customWidth="1"/>
    <col min="6682" max="6896" width="9.140625" style="10"/>
    <col min="6897" max="6897" width="38.5703125" style="10" customWidth="1"/>
    <col min="6898" max="6898" width="6.5703125" style="10" customWidth="1"/>
    <col min="6899" max="6899" width="7.7109375" style="10" bestFit="1" customWidth="1"/>
    <col min="6900" max="6900" width="7.28515625" style="10" customWidth="1"/>
    <col min="6901" max="6901" width="6.5703125" style="10" bestFit="1" customWidth="1"/>
    <col min="6902" max="6902" width="7.28515625" style="10" bestFit="1" customWidth="1"/>
    <col min="6903" max="6903" width="8.140625" style="10" customWidth="1"/>
    <col min="6904" max="6904" width="7.140625" style="10" customWidth="1"/>
    <col min="6905" max="6905" width="7.7109375" style="10" bestFit="1" customWidth="1"/>
    <col min="6906" max="6906" width="7.28515625" style="10" customWidth="1"/>
    <col min="6907" max="6907" width="7" style="10" customWidth="1"/>
    <col min="6908" max="6908" width="7.5703125" style="10" customWidth="1"/>
    <col min="6909" max="6909" width="7.140625" style="10" customWidth="1"/>
    <col min="6910" max="6910" width="7" style="10" customWidth="1"/>
    <col min="6911" max="6911" width="7.5703125" style="10" customWidth="1"/>
    <col min="6912" max="6912" width="7.140625" style="10" customWidth="1"/>
    <col min="6913" max="6929" width="8.7109375" style="10" customWidth="1"/>
    <col min="6930" max="6930" width="36.85546875" style="10" customWidth="1"/>
    <col min="6931" max="6937" width="14.28515625" style="10" customWidth="1"/>
    <col min="6938" max="7152" width="9.140625" style="10"/>
    <col min="7153" max="7153" width="38.5703125" style="10" customWidth="1"/>
    <col min="7154" max="7154" width="6.5703125" style="10" customWidth="1"/>
    <col min="7155" max="7155" width="7.7109375" style="10" bestFit="1" customWidth="1"/>
    <col min="7156" max="7156" width="7.28515625" style="10" customWidth="1"/>
    <col min="7157" max="7157" width="6.5703125" style="10" bestFit="1" customWidth="1"/>
    <col min="7158" max="7158" width="7.28515625" style="10" bestFit="1" customWidth="1"/>
    <col min="7159" max="7159" width="8.140625" style="10" customWidth="1"/>
    <col min="7160" max="7160" width="7.140625" style="10" customWidth="1"/>
    <col min="7161" max="7161" width="7.7109375" style="10" bestFit="1" customWidth="1"/>
    <col min="7162" max="7162" width="7.28515625" style="10" customWidth="1"/>
    <col min="7163" max="7163" width="7" style="10" customWidth="1"/>
    <col min="7164" max="7164" width="7.5703125" style="10" customWidth="1"/>
    <col min="7165" max="7165" width="7.140625" style="10" customWidth="1"/>
    <col min="7166" max="7166" width="7" style="10" customWidth="1"/>
    <col min="7167" max="7167" width="7.5703125" style="10" customWidth="1"/>
    <col min="7168" max="7168" width="7.140625" style="10" customWidth="1"/>
    <col min="7169" max="7185" width="8.7109375" style="10" customWidth="1"/>
    <col min="7186" max="7186" width="36.85546875" style="10" customWidth="1"/>
    <col min="7187" max="7193" width="14.28515625" style="10" customWidth="1"/>
    <col min="7194" max="7408" width="9.140625" style="10"/>
    <col min="7409" max="7409" width="38.5703125" style="10" customWidth="1"/>
    <col min="7410" max="7410" width="6.5703125" style="10" customWidth="1"/>
    <col min="7411" max="7411" width="7.7109375" style="10" bestFit="1" customWidth="1"/>
    <col min="7412" max="7412" width="7.28515625" style="10" customWidth="1"/>
    <col min="7413" max="7413" width="6.5703125" style="10" bestFit="1" customWidth="1"/>
    <col min="7414" max="7414" width="7.28515625" style="10" bestFit="1" customWidth="1"/>
    <col min="7415" max="7415" width="8.140625" style="10" customWidth="1"/>
    <col min="7416" max="7416" width="7.140625" style="10" customWidth="1"/>
    <col min="7417" max="7417" width="7.7109375" style="10" bestFit="1" customWidth="1"/>
    <col min="7418" max="7418" width="7.28515625" style="10" customWidth="1"/>
    <col min="7419" max="7419" width="7" style="10" customWidth="1"/>
    <col min="7420" max="7420" width="7.5703125" style="10" customWidth="1"/>
    <col min="7421" max="7421" width="7.140625" style="10" customWidth="1"/>
    <col min="7422" max="7422" width="7" style="10" customWidth="1"/>
    <col min="7423" max="7423" width="7.5703125" style="10" customWidth="1"/>
    <col min="7424" max="7424" width="7.140625" style="10" customWidth="1"/>
    <col min="7425" max="7441" width="8.7109375" style="10" customWidth="1"/>
    <col min="7442" max="7442" width="36.85546875" style="10" customWidth="1"/>
    <col min="7443" max="7449" width="14.28515625" style="10" customWidth="1"/>
    <col min="7450" max="7664" width="9.140625" style="10"/>
    <col min="7665" max="7665" width="38.5703125" style="10" customWidth="1"/>
    <col min="7666" max="7666" width="6.5703125" style="10" customWidth="1"/>
    <col min="7667" max="7667" width="7.7109375" style="10" bestFit="1" customWidth="1"/>
    <col min="7668" max="7668" width="7.28515625" style="10" customWidth="1"/>
    <col min="7669" max="7669" width="6.5703125" style="10" bestFit="1" customWidth="1"/>
    <col min="7670" max="7670" width="7.28515625" style="10" bestFit="1" customWidth="1"/>
    <col min="7671" max="7671" width="8.140625" style="10" customWidth="1"/>
    <col min="7672" max="7672" width="7.140625" style="10" customWidth="1"/>
    <col min="7673" max="7673" width="7.7109375" style="10" bestFit="1" customWidth="1"/>
    <col min="7674" max="7674" width="7.28515625" style="10" customWidth="1"/>
    <col min="7675" max="7675" width="7" style="10" customWidth="1"/>
    <col min="7676" max="7676" width="7.5703125" style="10" customWidth="1"/>
    <col min="7677" max="7677" width="7.140625" style="10" customWidth="1"/>
    <col min="7678" max="7678" width="7" style="10" customWidth="1"/>
    <col min="7679" max="7679" width="7.5703125" style="10" customWidth="1"/>
    <col min="7680" max="7680" width="7.140625" style="10" customWidth="1"/>
    <col min="7681" max="7697" width="8.7109375" style="10" customWidth="1"/>
    <col min="7698" max="7698" width="36.85546875" style="10" customWidth="1"/>
    <col min="7699" max="7705" width="14.28515625" style="10" customWidth="1"/>
    <col min="7706" max="7920" width="9.140625" style="10"/>
    <col min="7921" max="7921" width="38.5703125" style="10" customWidth="1"/>
    <col min="7922" max="7922" width="6.5703125" style="10" customWidth="1"/>
    <col min="7923" max="7923" width="7.7109375" style="10" bestFit="1" customWidth="1"/>
    <col min="7924" max="7924" width="7.28515625" style="10" customWidth="1"/>
    <col min="7925" max="7925" width="6.5703125" style="10" bestFit="1" customWidth="1"/>
    <col min="7926" max="7926" width="7.28515625" style="10" bestFit="1" customWidth="1"/>
    <col min="7927" max="7927" width="8.140625" style="10" customWidth="1"/>
    <col min="7928" max="7928" width="7.140625" style="10" customWidth="1"/>
    <col min="7929" max="7929" width="7.7109375" style="10" bestFit="1" customWidth="1"/>
    <col min="7930" max="7930" width="7.28515625" style="10" customWidth="1"/>
    <col min="7931" max="7931" width="7" style="10" customWidth="1"/>
    <col min="7932" max="7932" width="7.5703125" style="10" customWidth="1"/>
    <col min="7933" max="7933" width="7.140625" style="10" customWidth="1"/>
    <col min="7934" max="7934" width="7" style="10" customWidth="1"/>
    <col min="7935" max="7935" width="7.5703125" style="10" customWidth="1"/>
    <col min="7936" max="7936" width="7.140625" style="10" customWidth="1"/>
    <col min="7937" max="7953" width="8.7109375" style="10" customWidth="1"/>
    <col min="7954" max="7954" width="36.85546875" style="10" customWidth="1"/>
    <col min="7955" max="7961" width="14.28515625" style="10" customWidth="1"/>
    <col min="7962" max="8176" width="9.140625" style="10"/>
    <col min="8177" max="8177" width="38.5703125" style="10" customWidth="1"/>
    <col min="8178" max="8178" width="6.5703125" style="10" customWidth="1"/>
    <col min="8179" max="8179" width="7.7109375" style="10" bestFit="1" customWidth="1"/>
    <col min="8180" max="8180" width="7.28515625" style="10" customWidth="1"/>
    <col min="8181" max="8181" width="6.5703125" style="10" bestFit="1" customWidth="1"/>
    <col min="8182" max="8182" width="7.28515625" style="10" bestFit="1" customWidth="1"/>
    <col min="8183" max="8183" width="8.140625" style="10" customWidth="1"/>
    <col min="8184" max="8184" width="7.140625" style="10" customWidth="1"/>
    <col min="8185" max="8185" width="7.7109375" style="10" bestFit="1" customWidth="1"/>
    <col min="8186" max="8186" width="7.28515625" style="10" customWidth="1"/>
    <col min="8187" max="8187" width="7" style="10" customWidth="1"/>
    <col min="8188" max="8188" width="7.5703125" style="10" customWidth="1"/>
    <col min="8189" max="8189" width="7.140625" style="10" customWidth="1"/>
    <col min="8190" max="8190" width="7" style="10" customWidth="1"/>
    <col min="8191" max="8191" width="7.5703125" style="10" customWidth="1"/>
    <col min="8192" max="8192" width="7.140625" style="10" customWidth="1"/>
    <col min="8193" max="8209" width="8.7109375" style="10" customWidth="1"/>
    <col min="8210" max="8210" width="36.85546875" style="10" customWidth="1"/>
    <col min="8211" max="8217" width="14.28515625" style="10" customWidth="1"/>
    <col min="8218" max="8432" width="9.140625" style="10"/>
    <col min="8433" max="8433" width="38.5703125" style="10" customWidth="1"/>
    <col min="8434" max="8434" width="6.5703125" style="10" customWidth="1"/>
    <col min="8435" max="8435" width="7.7109375" style="10" bestFit="1" customWidth="1"/>
    <col min="8436" max="8436" width="7.28515625" style="10" customWidth="1"/>
    <col min="8437" max="8437" width="6.5703125" style="10" bestFit="1" customWidth="1"/>
    <col min="8438" max="8438" width="7.28515625" style="10" bestFit="1" customWidth="1"/>
    <col min="8439" max="8439" width="8.140625" style="10" customWidth="1"/>
    <col min="8440" max="8440" width="7.140625" style="10" customWidth="1"/>
    <col min="8441" max="8441" width="7.7109375" style="10" bestFit="1" customWidth="1"/>
    <col min="8442" max="8442" width="7.28515625" style="10" customWidth="1"/>
    <col min="8443" max="8443" width="7" style="10" customWidth="1"/>
    <col min="8444" max="8444" width="7.5703125" style="10" customWidth="1"/>
    <col min="8445" max="8445" width="7.140625" style="10" customWidth="1"/>
    <col min="8446" max="8446" width="7" style="10" customWidth="1"/>
    <col min="8447" max="8447" width="7.5703125" style="10" customWidth="1"/>
    <col min="8448" max="8448" width="7.140625" style="10" customWidth="1"/>
    <col min="8449" max="8465" width="8.7109375" style="10" customWidth="1"/>
    <col min="8466" max="8466" width="36.85546875" style="10" customWidth="1"/>
    <col min="8467" max="8473" width="14.28515625" style="10" customWidth="1"/>
    <col min="8474" max="8688" width="9.140625" style="10"/>
    <col min="8689" max="8689" width="38.5703125" style="10" customWidth="1"/>
    <col min="8690" max="8690" width="6.5703125" style="10" customWidth="1"/>
    <col min="8691" max="8691" width="7.7109375" style="10" bestFit="1" customWidth="1"/>
    <col min="8692" max="8692" width="7.28515625" style="10" customWidth="1"/>
    <col min="8693" max="8693" width="6.5703125" style="10" bestFit="1" customWidth="1"/>
    <col min="8694" max="8694" width="7.28515625" style="10" bestFit="1" customWidth="1"/>
    <col min="8695" max="8695" width="8.140625" style="10" customWidth="1"/>
    <col min="8696" max="8696" width="7.140625" style="10" customWidth="1"/>
    <col min="8697" max="8697" width="7.7109375" style="10" bestFit="1" customWidth="1"/>
    <col min="8698" max="8698" width="7.28515625" style="10" customWidth="1"/>
    <col min="8699" max="8699" width="7" style="10" customWidth="1"/>
    <col min="8700" max="8700" width="7.5703125" style="10" customWidth="1"/>
    <col min="8701" max="8701" width="7.140625" style="10" customWidth="1"/>
    <col min="8702" max="8702" width="7" style="10" customWidth="1"/>
    <col min="8703" max="8703" width="7.5703125" style="10" customWidth="1"/>
    <col min="8704" max="8704" width="7.140625" style="10" customWidth="1"/>
    <col min="8705" max="8721" width="8.7109375" style="10" customWidth="1"/>
    <col min="8722" max="8722" width="36.85546875" style="10" customWidth="1"/>
    <col min="8723" max="8729" width="14.28515625" style="10" customWidth="1"/>
    <col min="8730" max="8944" width="9.140625" style="10"/>
    <col min="8945" max="8945" width="38.5703125" style="10" customWidth="1"/>
    <col min="8946" max="8946" width="6.5703125" style="10" customWidth="1"/>
    <col min="8947" max="8947" width="7.7109375" style="10" bestFit="1" customWidth="1"/>
    <col min="8948" max="8948" width="7.28515625" style="10" customWidth="1"/>
    <col min="8949" max="8949" width="6.5703125" style="10" bestFit="1" customWidth="1"/>
    <col min="8950" max="8950" width="7.28515625" style="10" bestFit="1" customWidth="1"/>
    <col min="8951" max="8951" width="8.140625" style="10" customWidth="1"/>
    <col min="8952" max="8952" width="7.140625" style="10" customWidth="1"/>
    <col min="8953" max="8953" width="7.7109375" style="10" bestFit="1" customWidth="1"/>
    <col min="8954" max="8954" width="7.28515625" style="10" customWidth="1"/>
    <col min="8955" max="8955" width="7" style="10" customWidth="1"/>
    <col min="8956" max="8956" width="7.5703125" style="10" customWidth="1"/>
    <col min="8957" max="8957" width="7.140625" style="10" customWidth="1"/>
    <col min="8958" max="8958" width="7" style="10" customWidth="1"/>
    <col min="8959" max="8959" width="7.5703125" style="10" customWidth="1"/>
    <col min="8960" max="8960" width="7.140625" style="10" customWidth="1"/>
    <col min="8961" max="8977" width="8.7109375" style="10" customWidth="1"/>
    <col min="8978" max="8978" width="36.85546875" style="10" customWidth="1"/>
    <col min="8979" max="8985" width="14.28515625" style="10" customWidth="1"/>
    <col min="8986" max="9200" width="9.140625" style="10"/>
    <col min="9201" max="9201" width="38.5703125" style="10" customWidth="1"/>
    <col min="9202" max="9202" width="6.5703125" style="10" customWidth="1"/>
    <col min="9203" max="9203" width="7.7109375" style="10" bestFit="1" customWidth="1"/>
    <col min="9204" max="9204" width="7.28515625" style="10" customWidth="1"/>
    <col min="9205" max="9205" width="6.5703125" style="10" bestFit="1" customWidth="1"/>
    <col min="9206" max="9206" width="7.28515625" style="10" bestFit="1" customWidth="1"/>
    <col min="9207" max="9207" width="8.140625" style="10" customWidth="1"/>
    <col min="9208" max="9208" width="7.140625" style="10" customWidth="1"/>
    <col min="9209" max="9209" width="7.7109375" style="10" bestFit="1" customWidth="1"/>
    <col min="9210" max="9210" width="7.28515625" style="10" customWidth="1"/>
    <col min="9211" max="9211" width="7" style="10" customWidth="1"/>
    <col min="9212" max="9212" width="7.5703125" style="10" customWidth="1"/>
    <col min="9213" max="9213" width="7.140625" style="10" customWidth="1"/>
    <col min="9214" max="9214" width="7" style="10" customWidth="1"/>
    <col min="9215" max="9215" width="7.5703125" style="10" customWidth="1"/>
    <col min="9216" max="9216" width="7.140625" style="10" customWidth="1"/>
    <col min="9217" max="9233" width="8.7109375" style="10" customWidth="1"/>
    <col min="9234" max="9234" width="36.85546875" style="10" customWidth="1"/>
    <col min="9235" max="9241" width="14.28515625" style="10" customWidth="1"/>
    <col min="9242" max="9456" width="9.140625" style="10"/>
    <col min="9457" max="9457" width="38.5703125" style="10" customWidth="1"/>
    <col min="9458" max="9458" width="6.5703125" style="10" customWidth="1"/>
    <col min="9459" max="9459" width="7.7109375" style="10" bestFit="1" customWidth="1"/>
    <col min="9460" max="9460" width="7.28515625" style="10" customWidth="1"/>
    <col min="9461" max="9461" width="6.5703125" style="10" bestFit="1" customWidth="1"/>
    <col min="9462" max="9462" width="7.28515625" style="10" bestFit="1" customWidth="1"/>
    <col min="9463" max="9463" width="8.140625" style="10" customWidth="1"/>
    <col min="9464" max="9464" width="7.140625" style="10" customWidth="1"/>
    <col min="9465" max="9465" width="7.7109375" style="10" bestFit="1" customWidth="1"/>
    <col min="9466" max="9466" width="7.28515625" style="10" customWidth="1"/>
    <col min="9467" max="9467" width="7" style="10" customWidth="1"/>
    <col min="9468" max="9468" width="7.5703125" style="10" customWidth="1"/>
    <col min="9469" max="9469" width="7.140625" style="10" customWidth="1"/>
    <col min="9470" max="9470" width="7" style="10" customWidth="1"/>
    <col min="9471" max="9471" width="7.5703125" style="10" customWidth="1"/>
    <col min="9472" max="9472" width="7.140625" style="10" customWidth="1"/>
    <col min="9473" max="9489" width="8.7109375" style="10" customWidth="1"/>
    <col min="9490" max="9490" width="36.85546875" style="10" customWidth="1"/>
    <col min="9491" max="9497" width="14.28515625" style="10" customWidth="1"/>
    <col min="9498" max="9712" width="9.140625" style="10"/>
    <col min="9713" max="9713" width="38.5703125" style="10" customWidth="1"/>
    <col min="9714" max="9714" width="6.5703125" style="10" customWidth="1"/>
    <col min="9715" max="9715" width="7.7109375" style="10" bestFit="1" customWidth="1"/>
    <col min="9716" max="9716" width="7.28515625" style="10" customWidth="1"/>
    <col min="9717" max="9717" width="6.5703125" style="10" bestFit="1" customWidth="1"/>
    <col min="9718" max="9718" width="7.28515625" style="10" bestFit="1" customWidth="1"/>
    <col min="9719" max="9719" width="8.140625" style="10" customWidth="1"/>
    <col min="9720" max="9720" width="7.140625" style="10" customWidth="1"/>
    <col min="9721" max="9721" width="7.7109375" style="10" bestFit="1" customWidth="1"/>
    <col min="9722" max="9722" width="7.28515625" style="10" customWidth="1"/>
    <col min="9723" max="9723" width="7" style="10" customWidth="1"/>
    <col min="9724" max="9724" width="7.5703125" style="10" customWidth="1"/>
    <col min="9725" max="9725" width="7.140625" style="10" customWidth="1"/>
    <col min="9726" max="9726" width="7" style="10" customWidth="1"/>
    <col min="9727" max="9727" width="7.5703125" style="10" customWidth="1"/>
    <col min="9728" max="9728" width="7.140625" style="10" customWidth="1"/>
    <col min="9729" max="9745" width="8.7109375" style="10" customWidth="1"/>
    <col min="9746" max="9746" width="36.85546875" style="10" customWidth="1"/>
    <col min="9747" max="9753" width="14.28515625" style="10" customWidth="1"/>
    <col min="9754" max="9968" width="9.140625" style="10"/>
    <col min="9969" max="9969" width="38.5703125" style="10" customWidth="1"/>
    <col min="9970" max="9970" width="6.5703125" style="10" customWidth="1"/>
    <col min="9971" max="9971" width="7.7109375" style="10" bestFit="1" customWidth="1"/>
    <col min="9972" max="9972" width="7.28515625" style="10" customWidth="1"/>
    <col min="9973" max="9973" width="6.5703125" style="10" bestFit="1" customWidth="1"/>
    <col min="9974" max="9974" width="7.28515625" style="10" bestFit="1" customWidth="1"/>
    <col min="9975" max="9975" width="8.140625" style="10" customWidth="1"/>
    <col min="9976" max="9976" width="7.140625" style="10" customWidth="1"/>
    <col min="9977" max="9977" width="7.7109375" style="10" bestFit="1" customWidth="1"/>
    <col min="9978" max="9978" width="7.28515625" style="10" customWidth="1"/>
    <col min="9979" max="9979" width="7" style="10" customWidth="1"/>
    <col min="9980" max="9980" width="7.5703125" style="10" customWidth="1"/>
    <col min="9981" max="9981" width="7.140625" style="10" customWidth="1"/>
    <col min="9982" max="9982" width="7" style="10" customWidth="1"/>
    <col min="9983" max="9983" width="7.5703125" style="10" customWidth="1"/>
    <col min="9984" max="9984" width="7.140625" style="10" customWidth="1"/>
    <col min="9985" max="10001" width="8.7109375" style="10" customWidth="1"/>
    <col min="10002" max="10002" width="36.85546875" style="10" customWidth="1"/>
    <col min="10003" max="10009" width="14.28515625" style="10" customWidth="1"/>
    <col min="10010" max="10224" width="9.140625" style="10"/>
    <col min="10225" max="10225" width="38.5703125" style="10" customWidth="1"/>
    <col min="10226" max="10226" width="6.5703125" style="10" customWidth="1"/>
    <col min="10227" max="10227" width="7.7109375" style="10" bestFit="1" customWidth="1"/>
    <col min="10228" max="10228" width="7.28515625" style="10" customWidth="1"/>
    <col min="10229" max="10229" width="6.5703125" style="10" bestFit="1" customWidth="1"/>
    <col min="10230" max="10230" width="7.28515625" style="10" bestFit="1" customWidth="1"/>
    <col min="10231" max="10231" width="8.140625" style="10" customWidth="1"/>
    <col min="10232" max="10232" width="7.140625" style="10" customWidth="1"/>
    <col min="10233" max="10233" width="7.7109375" style="10" bestFit="1" customWidth="1"/>
    <col min="10234" max="10234" width="7.28515625" style="10" customWidth="1"/>
    <col min="10235" max="10235" width="7" style="10" customWidth="1"/>
    <col min="10236" max="10236" width="7.5703125" style="10" customWidth="1"/>
    <col min="10237" max="10237" width="7.140625" style="10" customWidth="1"/>
    <col min="10238" max="10238" width="7" style="10" customWidth="1"/>
    <col min="10239" max="10239" width="7.5703125" style="10" customWidth="1"/>
    <col min="10240" max="10240" width="7.140625" style="10" customWidth="1"/>
    <col min="10241" max="10257" width="8.7109375" style="10" customWidth="1"/>
    <col min="10258" max="10258" width="36.85546875" style="10" customWidth="1"/>
    <col min="10259" max="10265" width="14.28515625" style="10" customWidth="1"/>
    <col min="10266" max="10480" width="9.140625" style="10"/>
    <col min="10481" max="10481" width="38.5703125" style="10" customWidth="1"/>
    <col min="10482" max="10482" width="6.5703125" style="10" customWidth="1"/>
    <col min="10483" max="10483" width="7.7109375" style="10" bestFit="1" customWidth="1"/>
    <col min="10484" max="10484" width="7.28515625" style="10" customWidth="1"/>
    <col min="10485" max="10485" width="6.5703125" style="10" bestFit="1" customWidth="1"/>
    <col min="10486" max="10486" width="7.28515625" style="10" bestFit="1" customWidth="1"/>
    <col min="10487" max="10487" width="8.140625" style="10" customWidth="1"/>
    <col min="10488" max="10488" width="7.140625" style="10" customWidth="1"/>
    <col min="10489" max="10489" width="7.7109375" style="10" bestFit="1" customWidth="1"/>
    <col min="10490" max="10490" width="7.28515625" style="10" customWidth="1"/>
    <col min="10491" max="10491" width="7" style="10" customWidth="1"/>
    <col min="10492" max="10492" width="7.5703125" style="10" customWidth="1"/>
    <col min="10493" max="10493" width="7.140625" style="10" customWidth="1"/>
    <col min="10494" max="10494" width="7" style="10" customWidth="1"/>
    <col min="10495" max="10495" width="7.5703125" style="10" customWidth="1"/>
    <col min="10496" max="10496" width="7.140625" style="10" customWidth="1"/>
    <col min="10497" max="10513" width="8.7109375" style="10" customWidth="1"/>
    <col min="10514" max="10514" width="36.85546875" style="10" customWidth="1"/>
    <col min="10515" max="10521" width="14.28515625" style="10" customWidth="1"/>
    <col min="10522" max="10736" width="9.140625" style="10"/>
    <col min="10737" max="10737" width="38.5703125" style="10" customWidth="1"/>
    <col min="10738" max="10738" width="6.5703125" style="10" customWidth="1"/>
    <col min="10739" max="10739" width="7.7109375" style="10" bestFit="1" customWidth="1"/>
    <col min="10740" max="10740" width="7.28515625" style="10" customWidth="1"/>
    <col min="10741" max="10741" width="6.5703125" style="10" bestFit="1" customWidth="1"/>
    <col min="10742" max="10742" width="7.28515625" style="10" bestFit="1" customWidth="1"/>
    <col min="10743" max="10743" width="8.140625" style="10" customWidth="1"/>
    <col min="10744" max="10744" width="7.140625" style="10" customWidth="1"/>
    <col min="10745" max="10745" width="7.7109375" style="10" bestFit="1" customWidth="1"/>
    <col min="10746" max="10746" width="7.28515625" style="10" customWidth="1"/>
    <col min="10747" max="10747" width="7" style="10" customWidth="1"/>
    <col min="10748" max="10748" width="7.5703125" style="10" customWidth="1"/>
    <col min="10749" max="10749" width="7.140625" style="10" customWidth="1"/>
    <col min="10750" max="10750" width="7" style="10" customWidth="1"/>
    <col min="10751" max="10751" width="7.5703125" style="10" customWidth="1"/>
    <col min="10752" max="10752" width="7.140625" style="10" customWidth="1"/>
    <col min="10753" max="10769" width="8.7109375" style="10" customWidth="1"/>
    <col min="10770" max="10770" width="36.85546875" style="10" customWidth="1"/>
    <col min="10771" max="10777" width="14.28515625" style="10" customWidth="1"/>
    <col min="10778" max="10992" width="9.140625" style="10"/>
    <col min="10993" max="10993" width="38.5703125" style="10" customWidth="1"/>
    <col min="10994" max="10994" width="6.5703125" style="10" customWidth="1"/>
    <col min="10995" max="10995" width="7.7109375" style="10" bestFit="1" customWidth="1"/>
    <col min="10996" max="10996" width="7.28515625" style="10" customWidth="1"/>
    <col min="10997" max="10997" width="6.5703125" style="10" bestFit="1" customWidth="1"/>
    <col min="10998" max="10998" width="7.28515625" style="10" bestFit="1" customWidth="1"/>
    <col min="10999" max="10999" width="8.140625" style="10" customWidth="1"/>
    <col min="11000" max="11000" width="7.140625" style="10" customWidth="1"/>
    <col min="11001" max="11001" width="7.7109375" style="10" bestFit="1" customWidth="1"/>
    <col min="11002" max="11002" width="7.28515625" style="10" customWidth="1"/>
    <col min="11003" max="11003" width="7" style="10" customWidth="1"/>
    <col min="11004" max="11004" width="7.5703125" style="10" customWidth="1"/>
    <col min="11005" max="11005" width="7.140625" style="10" customWidth="1"/>
    <col min="11006" max="11006" width="7" style="10" customWidth="1"/>
    <col min="11007" max="11007" width="7.5703125" style="10" customWidth="1"/>
    <col min="11008" max="11008" width="7.140625" style="10" customWidth="1"/>
    <col min="11009" max="11025" width="8.7109375" style="10" customWidth="1"/>
    <col min="11026" max="11026" width="36.85546875" style="10" customWidth="1"/>
    <col min="11027" max="11033" width="14.28515625" style="10" customWidth="1"/>
    <col min="11034" max="11248" width="9.140625" style="10"/>
    <col min="11249" max="11249" width="38.5703125" style="10" customWidth="1"/>
    <col min="11250" max="11250" width="6.5703125" style="10" customWidth="1"/>
    <col min="11251" max="11251" width="7.7109375" style="10" bestFit="1" customWidth="1"/>
    <col min="11252" max="11252" width="7.28515625" style="10" customWidth="1"/>
    <col min="11253" max="11253" width="6.5703125" style="10" bestFit="1" customWidth="1"/>
    <col min="11254" max="11254" width="7.28515625" style="10" bestFit="1" customWidth="1"/>
    <col min="11255" max="11255" width="8.140625" style="10" customWidth="1"/>
    <col min="11256" max="11256" width="7.140625" style="10" customWidth="1"/>
    <col min="11257" max="11257" width="7.7109375" style="10" bestFit="1" customWidth="1"/>
    <col min="11258" max="11258" width="7.28515625" style="10" customWidth="1"/>
    <col min="11259" max="11259" width="7" style="10" customWidth="1"/>
    <col min="11260" max="11260" width="7.5703125" style="10" customWidth="1"/>
    <col min="11261" max="11261" width="7.140625" style="10" customWidth="1"/>
    <col min="11262" max="11262" width="7" style="10" customWidth="1"/>
    <col min="11263" max="11263" width="7.5703125" style="10" customWidth="1"/>
    <col min="11264" max="11264" width="7.140625" style="10" customWidth="1"/>
    <col min="11265" max="11281" width="8.7109375" style="10" customWidth="1"/>
    <col min="11282" max="11282" width="36.85546875" style="10" customWidth="1"/>
    <col min="11283" max="11289" width="14.28515625" style="10" customWidth="1"/>
    <col min="11290" max="11504" width="9.140625" style="10"/>
    <col min="11505" max="11505" width="38.5703125" style="10" customWidth="1"/>
    <col min="11506" max="11506" width="6.5703125" style="10" customWidth="1"/>
    <col min="11507" max="11507" width="7.7109375" style="10" bestFit="1" customWidth="1"/>
    <col min="11508" max="11508" width="7.28515625" style="10" customWidth="1"/>
    <col min="11509" max="11509" width="6.5703125" style="10" bestFit="1" customWidth="1"/>
    <col min="11510" max="11510" width="7.28515625" style="10" bestFit="1" customWidth="1"/>
    <col min="11511" max="11511" width="8.140625" style="10" customWidth="1"/>
    <col min="11512" max="11512" width="7.140625" style="10" customWidth="1"/>
    <col min="11513" max="11513" width="7.7109375" style="10" bestFit="1" customWidth="1"/>
    <col min="11514" max="11514" width="7.28515625" style="10" customWidth="1"/>
    <col min="11515" max="11515" width="7" style="10" customWidth="1"/>
    <col min="11516" max="11516" width="7.5703125" style="10" customWidth="1"/>
    <col min="11517" max="11517" width="7.140625" style="10" customWidth="1"/>
    <col min="11518" max="11518" width="7" style="10" customWidth="1"/>
    <col min="11519" max="11519" width="7.5703125" style="10" customWidth="1"/>
    <col min="11520" max="11520" width="7.140625" style="10" customWidth="1"/>
    <col min="11521" max="11537" width="8.7109375" style="10" customWidth="1"/>
    <col min="11538" max="11538" width="36.85546875" style="10" customWidth="1"/>
    <col min="11539" max="11545" width="14.28515625" style="10" customWidth="1"/>
    <col min="11546" max="11760" width="9.140625" style="10"/>
    <col min="11761" max="11761" width="38.5703125" style="10" customWidth="1"/>
    <col min="11762" max="11762" width="6.5703125" style="10" customWidth="1"/>
    <col min="11763" max="11763" width="7.7109375" style="10" bestFit="1" customWidth="1"/>
    <col min="11764" max="11764" width="7.28515625" style="10" customWidth="1"/>
    <col min="11765" max="11765" width="6.5703125" style="10" bestFit="1" customWidth="1"/>
    <col min="11766" max="11766" width="7.28515625" style="10" bestFit="1" customWidth="1"/>
    <col min="11767" max="11767" width="8.140625" style="10" customWidth="1"/>
    <col min="11768" max="11768" width="7.140625" style="10" customWidth="1"/>
    <col min="11769" max="11769" width="7.7109375" style="10" bestFit="1" customWidth="1"/>
    <col min="11770" max="11770" width="7.28515625" style="10" customWidth="1"/>
    <col min="11771" max="11771" width="7" style="10" customWidth="1"/>
    <col min="11772" max="11772" width="7.5703125" style="10" customWidth="1"/>
    <col min="11773" max="11773" width="7.140625" style="10" customWidth="1"/>
    <col min="11774" max="11774" width="7" style="10" customWidth="1"/>
    <col min="11775" max="11775" width="7.5703125" style="10" customWidth="1"/>
    <col min="11776" max="11776" width="7.140625" style="10" customWidth="1"/>
    <col min="11777" max="11793" width="8.7109375" style="10" customWidth="1"/>
    <col min="11794" max="11794" width="36.85546875" style="10" customWidth="1"/>
    <col min="11795" max="11801" width="14.28515625" style="10" customWidth="1"/>
    <col min="11802" max="12016" width="9.140625" style="10"/>
    <col min="12017" max="12017" width="38.5703125" style="10" customWidth="1"/>
    <col min="12018" max="12018" width="6.5703125" style="10" customWidth="1"/>
    <col min="12019" max="12019" width="7.7109375" style="10" bestFit="1" customWidth="1"/>
    <col min="12020" max="12020" width="7.28515625" style="10" customWidth="1"/>
    <col min="12021" max="12021" width="6.5703125" style="10" bestFit="1" customWidth="1"/>
    <col min="12022" max="12022" width="7.28515625" style="10" bestFit="1" customWidth="1"/>
    <col min="12023" max="12023" width="8.140625" style="10" customWidth="1"/>
    <col min="12024" max="12024" width="7.140625" style="10" customWidth="1"/>
    <col min="12025" max="12025" width="7.7109375" style="10" bestFit="1" customWidth="1"/>
    <col min="12026" max="12026" width="7.28515625" style="10" customWidth="1"/>
    <col min="12027" max="12027" width="7" style="10" customWidth="1"/>
    <col min="12028" max="12028" width="7.5703125" style="10" customWidth="1"/>
    <col min="12029" max="12029" width="7.140625" style="10" customWidth="1"/>
    <col min="12030" max="12030" width="7" style="10" customWidth="1"/>
    <col min="12031" max="12031" width="7.5703125" style="10" customWidth="1"/>
    <col min="12032" max="12032" width="7.140625" style="10" customWidth="1"/>
    <col min="12033" max="12049" width="8.7109375" style="10" customWidth="1"/>
    <col min="12050" max="12050" width="36.85546875" style="10" customWidth="1"/>
    <col min="12051" max="12057" width="14.28515625" style="10" customWidth="1"/>
    <col min="12058" max="12272" width="9.140625" style="10"/>
    <col min="12273" max="12273" width="38.5703125" style="10" customWidth="1"/>
    <col min="12274" max="12274" width="6.5703125" style="10" customWidth="1"/>
    <col min="12275" max="12275" width="7.7109375" style="10" bestFit="1" customWidth="1"/>
    <col min="12276" max="12276" width="7.28515625" style="10" customWidth="1"/>
    <col min="12277" max="12277" width="6.5703125" style="10" bestFit="1" customWidth="1"/>
    <col min="12278" max="12278" width="7.28515625" style="10" bestFit="1" customWidth="1"/>
    <col min="12279" max="12279" width="8.140625" style="10" customWidth="1"/>
    <col min="12280" max="12280" width="7.140625" style="10" customWidth="1"/>
    <col min="12281" max="12281" width="7.7109375" style="10" bestFit="1" customWidth="1"/>
    <col min="12282" max="12282" width="7.28515625" style="10" customWidth="1"/>
    <col min="12283" max="12283" width="7" style="10" customWidth="1"/>
    <col min="12284" max="12284" width="7.5703125" style="10" customWidth="1"/>
    <col min="12285" max="12285" width="7.140625" style="10" customWidth="1"/>
    <col min="12286" max="12286" width="7" style="10" customWidth="1"/>
    <col min="12287" max="12287" width="7.5703125" style="10" customWidth="1"/>
    <col min="12288" max="12288" width="7.140625" style="10" customWidth="1"/>
    <col min="12289" max="12305" width="8.7109375" style="10" customWidth="1"/>
    <col min="12306" max="12306" width="36.85546875" style="10" customWidth="1"/>
    <col min="12307" max="12313" width="14.28515625" style="10" customWidth="1"/>
    <col min="12314" max="12528" width="9.140625" style="10"/>
    <col min="12529" max="12529" width="38.5703125" style="10" customWidth="1"/>
    <col min="12530" max="12530" width="6.5703125" style="10" customWidth="1"/>
    <col min="12531" max="12531" width="7.7109375" style="10" bestFit="1" customWidth="1"/>
    <col min="12532" max="12532" width="7.28515625" style="10" customWidth="1"/>
    <col min="12533" max="12533" width="6.5703125" style="10" bestFit="1" customWidth="1"/>
    <col min="12534" max="12534" width="7.28515625" style="10" bestFit="1" customWidth="1"/>
    <col min="12535" max="12535" width="8.140625" style="10" customWidth="1"/>
    <col min="12536" max="12536" width="7.140625" style="10" customWidth="1"/>
    <col min="12537" max="12537" width="7.7109375" style="10" bestFit="1" customWidth="1"/>
    <col min="12538" max="12538" width="7.28515625" style="10" customWidth="1"/>
    <col min="12539" max="12539" width="7" style="10" customWidth="1"/>
    <col min="12540" max="12540" width="7.5703125" style="10" customWidth="1"/>
    <col min="12541" max="12541" width="7.140625" style="10" customWidth="1"/>
    <col min="12542" max="12542" width="7" style="10" customWidth="1"/>
    <col min="12543" max="12543" width="7.5703125" style="10" customWidth="1"/>
    <col min="12544" max="12544" width="7.140625" style="10" customWidth="1"/>
    <col min="12545" max="12561" width="8.7109375" style="10" customWidth="1"/>
    <col min="12562" max="12562" width="36.85546875" style="10" customWidth="1"/>
    <col min="12563" max="12569" width="14.28515625" style="10" customWidth="1"/>
    <col min="12570" max="12784" width="9.140625" style="10"/>
    <col min="12785" max="12785" width="38.5703125" style="10" customWidth="1"/>
    <col min="12786" max="12786" width="6.5703125" style="10" customWidth="1"/>
    <col min="12787" max="12787" width="7.7109375" style="10" bestFit="1" customWidth="1"/>
    <col min="12788" max="12788" width="7.28515625" style="10" customWidth="1"/>
    <col min="12789" max="12789" width="6.5703125" style="10" bestFit="1" customWidth="1"/>
    <col min="12790" max="12790" width="7.28515625" style="10" bestFit="1" customWidth="1"/>
    <col min="12791" max="12791" width="8.140625" style="10" customWidth="1"/>
    <col min="12792" max="12792" width="7.140625" style="10" customWidth="1"/>
    <col min="12793" max="12793" width="7.7109375" style="10" bestFit="1" customWidth="1"/>
    <col min="12794" max="12794" width="7.28515625" style="10" customWidth="1"/>
    <col min="12795" max="12795" width="7" style="10" customWidth="1"/>
    <col min="12796" max="12796" width="7.5703125" style="10" customWidth="1"/>
    <col min="12797" max="12797" width="7.140625" style="10" customWidth="1"/>
    <col min="12798" max="12798" width="7" style="10" customWidth="1"/>
    <col min="12799" max="12799" width="7.5703125" style="10" customWidth="1"/>
    <col min="12800" max="12800" width="7.140625" style="10" customWidth="1"/>
    <col min="12801" max="12817" width="8.7109375" style="10" customWidth="1"/>
    <col min="12818" max="12818" width="36.85546875" style="10" customWidth="1"/>
    <col min="12819" max="12825" width="14.28515625" style="10" customWidth="1"/>
    <col min="12826" max="13040" width="9.140625" style="10"/>
    <col min="13041" max="13041" width="38.5703125" style="10" customWidth="1"/>
    <col min="13042" max="13042" width="6.5703125" style="10" customWidth="1"/>
    <col min="13043" max="13043" width="7.7109375" style="10" bestFit="1" customWidth="1"/>
    <col min="13044" max="13044" width="7.28515625" style="10" customWidth="1"/>
    <col min="13045" max="13045" width="6.5703125" style="10" bestFit="1" customWidth="1"/>
    <col min="13046" max="13046" width="7.28515625" style="10" bestFit="1" customWidth="1"/>
    <col min="13047" max="13047" width="8.140625" style="10" customWidth="1"/>
    <col min="13048" max="13048" width="7.140625" style="10" customWidth="1"/>
    <col min="13049" max="13049" width="7.7109375" style="10" bestFit="1" customWidth="1"/>
    <col min="13050" max="13050" width="7.28515625" style="10" customWidth="1"/>
    <col min="13051" max="13051" width="7" style="10" customWidth="1"/>
    <col min="13052" max="13052" width="7.5703125" style="10" customWidth="1"/>
    <col min="13053" max="13053" width="7.140625" style="10" customWidth="1"/>
    <col min="13054" max="13054" width="7" style="10" customWidth="1"/>
    <col min="13055" max="13055" width="7.5703125" style="10" customWidth="1"/>
    <col min="13056" max="13056" width="7.140625" style="10" customWidth="1"/>
    <col min="13057" max="13073" width="8.7109375" style="10" customWidth="1"/>
    <col min="13074" max="13074" width="36.85546875" style="10" customWidth="1"/>
    <col min="13075" max="13081" width="14.28515625" style="10" customWidth="1"/>
    <col min="13082" max="13296" width="9.140625" style="10"/>
    <col min="13297" max="13297" width="38.5703125" style="10" customWidth="1"/>
    <col min="13298" max="13298" width="6.5703125" style="10" customWidth="1"/>
    <col min="13299" max="13299" width="7.7109375" style="10" bestFit="1" customWidth="1"/>
    <col min="13300" max="13300" width="7.28515625" style="10" customWidth="1"/>
    <col min="13301" max="13301" width="6.5703125" style="10" bestFit="1" customWidth="1"/>
    <col min="13302" max="13302" width="7.28515625" style="10" bestFit="1" customWidth="1"/>
    <col min="13303" max="13303" width="8.140625" style="10" customWidth="1"/>
    <col min="13304" max="13304" width="7.140625" style="10" customWidth="1"/>
    <col min="13305" max="13305" width="7.7109375" style="10" bestFit="1" customWidth="1"/>
    <col min="13306" max="13306" width="7.28515625" style="10" customWidth="1"/>
    <col min="13307" max="13307" width="7" style="10" customWidth="1"/>
    <col min="13308" max="13308" width="7.5703125" style="10" customWidth="1"/>
    <col min="13309" max="13309" width="7.140625" style="10" customWidth="1"/>
    <col min="13310" max="13310" width="7" style="10" customWidth="1"/>
    <col min="13311" max="13311" width="7.5703125" style="10" customWidth="1"/>
    <col min="13312" max="13312" width="7.140625" style="10" customWidth="1"/>
    <col min="13313" max="13329" width="8.7109375" style="10" customWidth="1"/>
    <col min="13330" max="13330" width="36.85546875" style="10" customWidth="1"/>
    <col min="13331" max="13337" width="14.28515625" style="10" customWidth="1"/>
    <col min="13338" max="13552" width="9.140625" style="10"/>
    <col min="13553" max="13553" width="38.5703125" style="10" customWidth="1"/>
    <col min="13554" max="13554" width="6.5703125" style="10" customWidth="1"/>
    <col min="13555" max="13555" width="7.7109375" style="10" bestFit="1" customWidth="1"/>
    <col min="13556" max="13556" width="7.28515625" style="10" customWidth="1"/>
    <col min="13557" max="13557" width="6.5703125" style="10" bestFit="1" customWidth="1"/>
    <col min="13558" max="13558" width="7.28515625" style="10" bestFit="1" customWidth="1"/>
    <col min="13559" max="13559" width="8.140625" style="10" customWidth="1"/>
    <col min="13560" max="13560" width="7.140625" style="10" customWidth="1"/>
    <col min="13561" max="13561" width="7.7109375" style="10" bestFit="1" customWidth="1"/>
    <col min="13562" max="13562" width="7.28515625" style="10" customWidth="1"/>
    <col min="13563" max="13563" width="7" style="10" customWidth="1"/>
    <col min="13564" max="13564" width="7.5703125" style="10" customWidth="1"/>
    <col min="13565" max="13565" width="7.140625" style="10" customWidth="1"/>
    <col min="13566" max="13566" width="7" style="10" customWidth="1"/>
    <col min="13567" max="13567" width="7.5703125" style="10" customWidth="1"/>
    <col min="13568" max="13568" width="7.140625" style="10" customWidth="1"/>
    <col min="13569" max="13585" width="8.7109375" style="10" customWidth="1"/>
    <col min="13586" max="13586" width="36.85546875" style="10" customWidth="1"/>
    <col min="13587" max="13593" width="14.28515625" style="10" customWidth="1"/>
    <col min="13594" max="13808" width="9.140625" style="10"/>
    <col min="13809" max="13809" width="38.5703125" style="10" customWidth="1"/>
    <col min="13810" max="13810" width="6.5703125" style="10" customWidth="1"/>
    <col min="13811" max="13811" width="7.7109375" style="10" bestFit="1" customWidth="1"/>
    <col min="13812" max="13812" width="7.28515625" style="10" customWidth="1"/>
    <col min="13813" max="13813" width="6.5703125" style="10" bestFit="1" customWidth="1"/>
    <col min="13814" max="13814" width="7.28515625" style="10" bestFit="1" customWidth="1"/>
    <col min="13815" max="13815" width="8.140625" style="10" customWidth="1"/>
    <col min="13816" max="13816" width="7.140625" style="10" customWidth="1"/>
    <col min="13817" max="13817" width="7.7109375" style="10" bestFit="1" customWidth="1"/>
    <col min="13818" max="13818" width="7.28515625" style="10" customWidth="1"/>
    <col min="13819" max="13819" width="7" style="10" customWidth="1"/>
    <col min="13820" max="13820" width="7.5703125" style="10" customWidth="1"/>
    <col min="13821" max="13821" width="7.140625" style="10" customWidth="1"/>
    <col min="13822" max="13822" width="7" style="10" customWidth="1"/>
    <col min="13823" max="13823" width="7.5703125" style="10" customWidth="1"/>
    <col min="13824" max="13824" width="7.140625" style="10" customWidth="1"/>
    <col min="13825" max="13841" width="8.7109375" style="10" customWidth="1"/>
    <col min="13842" max="13842" width="36.85546875" style="10" customWidth="1"/>
    <col min="13843" max="13849" width="14.28515625" style="10" customWidth="1"/>
    <col min="13850" max="14064" width="9.140625" style="10"/>
    <col min="14065" max="14065" width="38.5703125" style="10" customWidth="1"/>
    <col min="14066" max="14066" width="6.5703125" style="10" customWidth="1"/>
    <col min="14067" max="14067" width="7.7109375" style="10" bestFit="1" customWidth="1"/>
    <col min="14068" max="14068" width="7.28515625" style="10" customWidth="1"/>
    <col min="14069" max="14069" width="6.5703125" style="10" bestFit="1" customWidth="1"/>
    <col min="14070" max="14070" width="7.28515625" style="10" bestFit="1" customWidth="1"/>
    <col min="14071" max="14071" width="8.140625" style="10" customWidth="1"/>
    <col min="14072" max="14072" width="7.140625" style="10" customWidth="1"/>
    <col min="14073" max="14073" width="7.7109375" style="10" bestFit="1" customWidth="1"/>
    <col min="14074" max="14074" width="7.28515625" style="10" customWidth="1"/>
    <col min="14075" max="14075" width="7" style="10" customWidth="1"/>
    <col min="14076" max="14076" width="7.5703125" style="10" customWidth="1"/>
    <col min="14077" max="14077" width="7.140625" style="10" customWidth="1"/>
    <col min="14078" max="14078" width="7" style="10" customWidth="1"/>
    <col min="14079" max="14079" width="7.5703125" style="10" customWidth="1"/>
    <col min="14080" max="14080" width="7.140625" style="10" customWidth="1"/>
    <col min="14081" max="14097" width="8.7109375" style="10" customWidth="1"/>
    <col min="14098" max="14098" width="36.85546875" style="10" customWidth="1"/>
    <col min="14099" max="14105" width="14.28515625" style="10" customWidth="1"/>
    <col min="14106" max="14320" width="9.140625" style="10"/>
    <col min="14321" max="14321" width="38.5703125" style="10" customWidth="1"/>
    <col min="14322" max="14322" width="6.5703125" style="10" customWidth="1"/>
    <col min="14323" max="14323" width="7.7109375" style="10" bestFit="1" customWidth="1"/>
    <col min="14324" max="14324" width="7.28515625" style="10" customWidth="1"/>
    <col min="14325" max="14325" width="6.5703125" style="10" bestFit="1" customWidth="1"/>
    <col min="14326" max="14326" width="7.28515625" style="10" bestFit="1" customWidth="1"/>
    <col min="14327" max="14327" width="8.140625" style="10" customWidth="1"/>
    <col min="14328" max="14328" width="7.140625" style="10" customWidth="1"/>
    <col min="14329" max="14329" width="7.7109375" style="10" bestFit="1" customWidth="1"/>
    <col min="14330" max="14330" width="7.28515625" style="10" customWidth="1"/>
    <col min="14331" max="14331" width="7" style="10" customWidth="1"/>
    <col min="14332" max="14332" width="7.5703125" style="10" customWidth="1"/>
    <col min="14333" max="14333" width="7.140625" style="10" customWidth="1"/>
    <col min="14334" max="14334" width="7" style="10" customWidth="1"/>
    <col min="14335" max="14335" width="7.5703125" style="10" customWidth="1"/>
    <col min="14336" max="14336" width="7.140625" style="10" customWidth="1"/>
    <col min="14337" max="14353" width="8.7109375" style="10" customWidth="1"/>
    <col min="14354" max="14354" width="36.85546875" style="10" customWidth="1"/>
    <col min="14355" max="14361" width="14.28515625" style="10" customWidth="1"/>
    <col min="14362" max="14576" width="9.140625" style="10"/>
    <col min="14577" max="14577" width="38.5703125" style="10" customWidth="1"/>
    <col min="14578" max="14578" width="6.5703125" style="10" customWidth="1"/>
    <col min="14579" max="14579" width="7.7109375" style="10" bestFit="1" customWidth="1"/>
    <col min="14580" max="14580" width="7.28515625" style="10" customWidth="1"/>
    <col min="14581" max="14581" width="6.5703125" style="10" bestFit="1" customWidth="1"/>
    <col min="14582" max="14582" width="7.28515625" style="10" bestFit="1" customWidth="1"/>
    <col min="14583" max="14583" width="8.140625" style="10" customWidth="1"/>
    <col min="14584" max="14584" width="7.140625" style="10" customWidth="1"/>
    <col min="14585" max="14585" width="7.7109375" style="10" bestFit="1" customWidth="1"/>
    <col min="14586" max="14586" width="7.28515625" style="10" customWidth="1"/>
    <col min="14587" max="14587" width="7" style="10" customWidth="1"/>
    <col min="14588" max="14588" width="7.5703125" style="10" customWidth="1"/>
    <col min="14589" max="14589" width="7.140625" style="10" customWidth="1"/>
    <col min="14590" max="14590" width="7" style="10" customWidth="1"/>
    <col min="14591" max="14591" width="7.5703125" style="10" customWidth="1"/>
    <col min="14592" max="14592" width="7.140625" style="10" customWidth="1"/>
    <col min="14593" max="14609" width="8.7109375" style="10" customWidth="1"/>
    <col min="14610" max="14610" width="36.85546875" style="10" customWidth="1"/>
    <col min="14611" max="14617" width="14.28515625" style="10" customWidth="1"/>
    <col min="14618" max="14832" width="9.140625" style="10"/>
    <col min="14833" max="14833" width="38.5703125" style="10" customWidth="1"/>
    <col min="14834" max="14834" width="6.5703125" style="10" customWidth="1"/>
    <col min="14835" max="14835" width="7.7109375" style="10" bestFit="1" customWidth="1"/>
    <col min="14836" max="14836" width="7.28515625" style="10" customWidth="1"/>
    <col min="14837" max="14837" width="6.5703125" style="10" bestFit="1" customWidth="1"/>
    <col min="14838" max="14838" width="7.28515625" style="10" bestFit="1" customWidth="1"/>
    <col min="14839" max="14839" width="8.140625" style="10" customWidth="1"/>
    <col min="14840" max="14840" width="7.140625" style="10" customWidth="1"/>
    <col min="14841" max="14841" width="7.7109375" style="10" bestFit="1" customWidth="1"/>
    <col min="14842" max="14842" width="7.28515625" style="10" customWidth="1"/>
    <col min="14843" max="14843" width="7" style="10" customWidth="1"/>
    <col min="14844" max="14844" width="7.5703125" style="10" customWidth="1"/>
    <col min="14845" max="14845" width="7.140625" style="10" customWidth="1"/>
    <col min="14846" max="14846" width="7" style="10" customWidth="1"/>
    <col min="14847" max="14847" width="7.5703125" style="10" customWidth="1"/>
    <col min="14848" max="14848" width="7.140625" style="10" customWidth="1"/>
    <col min="14849" max="14865" width="8.7109375" style="10" customWidth="1"/>
    <col min="14866" max="14866" width="36.85546875" style="10" customWidth="1"/>
    <col min="14867" max="14873" width="14.28515625" style="10" customWidth="1"/>
    <col min="14874" max="15088" width="9.140625" style="10"/>
    <col min="15089" max="15089" width="38.5703125" style="10" customWidth="1"/>
    <col min="15090" max="15090" width="6.5703125" style="10" customWidth="1"/>
    <col min="15091" max="15091" width="7.7109375" style="10" bestFit="1" customWidth="1"/>
    <col min="15092" max="15092" width="7.28515625" style="10" customWidth="1"/>
    <col min="15093" max="15093" width="6.5703125" style="10" bestFit="1" customWidth="1"/>
    <col min="15094" max="15094" width="7.28515625" style="10" bestFit="1" customWidth="1"/>
    <col min="15095" max="15095" width="8.140625" style="10" customWidth="1"/>
    <col min="15096" max="15096" width="7.140625" style="10" customWidth="1"/>
    <col min="15097" max="15097" width="7.7109375" style="10" bestFit="1" customWidth="1"/>
    <col min="15098" max="15098" width="7.28515625" style="10" customWidth="1"/>
    <col min="15099" max="15099" width="7" style="10" customWidth="1"/>
    <col min="15100" max="15100" width="7.5703125" style="10" customWidth="1"/>
    <col min="15101" max="15101" width="7.140625" style="10" customWidth="1"/>
    <col min="15102" max="15102" width="7" style="10" customWidth="1"/>
    <col min="15103" max="15103" width="7.5703125" style="10" customWidth="1"/>
    <col min="15104" max="15104" width="7.140625" style="10" customWidth="1"/>
    <col min="15105" max="15121" width="8.7109375" style="10" customWidth="1"/>
    <col min="15122" max="15122" width="36.85546875" style="10" customWidth="1"/>
    <col min="15123" max="15129" width="14.28515625" style="10" customWidth="1"/>
    <col min="15130" max="15344" width="9.140625" style="10"/>
    <col min="15345" max="15345" width="38.5703125" style="10" customWidth="1"/>
    <col min="15346" max="15346" width="6.5703125" style="10" customWidth="1"/>
    <col min="15347" max="15347" width="7.7109375" style="10" bestFit="1" customWidth="1"/>
    <col min="15348" max="15348" width="7.28515625" style="10" customWidth="1"/>
    <col min="15349" max="15349" width="6.5703125" style="10" bestFit="1" customWidth="1"/>
    <col min="15350" max="15350" width="7.28515625" style="10" bestFit="1" customWidth="1"/>
    <col min="15351" max="15351" width="8.140625" style="10" customWidth="1"/>
    <col min="15352" max="15352" width="7.140625" style="10" customWidth="1"/>
    <col min="15353" max="15353" width="7.7109375" style="10" bestFit="1" customWidth="1"/>
    <col min="15354" max="15354" width="7.28515625" style="10" customWidth="1"/>
    <col min="15355" max="15355" width="7" style="10" customWidth="1"/>
    <col min="15356" max="15356" width="7.5703125" style="10" customWidth="1"/>
    <col min="15357" max="15357" width="7.140625" style="10" customWidth="1"/>
    <col min="15358" max="15358" width="7" style="10" customWidth="1"/>
    <col min="15359" max="15359" width="7.5703125" style="10" customWidth="1"/>
    <col min="15360" max="15360" width="7.140625" style="10" customWidth="1"/>
    <col min="15361" max="15377" width="8.7109375" style="10" customWidth="1"/>
    <col min="15378" max="15378" width="36.85546875" style="10" customWidth="1"/>
    <col min="15379" max="15385" width="14.28515625" style="10" customWidth="1"/>
    <col min="15386" max="15600" width="9.140625" style="10"/>
    <col min="15601" max="15601" width="38.5703125" style="10" customWidth="1"/>
    <col min="15602" max="15602" width="6.5703125" style="10" customWidth="1"/>
    <col min="15603" max="15603" width="7.7109375" style="10" bestFit="1" customWidth="1"/>
    <col min="15604" max="15604" width="7.28515625" style="10" customWidth="1"/>
    <col min="15605" max="15605" width="6.5703125" style="10" bestFit="1" customWidth="1"/>
    <col min="15606" max="15606" width="7.28515625" style="10" bestFit="1" customWidth="1"/>
    <col min="15607" max="15607" width="8.140625" style="10" customWidth="1"/>
    <col min="15608" max="15608" width="7.140625" style="10" customWidth="1"/>
    <col min="15609" max="15609" width="7.7109375" style="10" bestFit="1" customWidth="1"/>
    <col min="15610" max="15610" width="7.28515625" style="10" customWidth="1"/>
    <col min="15611" max="15611" width="7" style="10" customWidth="1"/>
    <col min="15612" max="15612" width="7.5703125" style="10" customWidth="1"/>
    <col min="15613" max="15613" width="7.140625" style="10" customWidth="1"/>
    <col min="15614" max="15614" width="7" style="10" customWidth="1"/>
    <col min="15615" max="15615" width="7.5703125" style="10" customWidth="1"/>
    <col min="15616" max="15616" width="7.140625" style="10" customWidth="1"/>
    <col min="15617" max="15633" width="8.7109375" style="10" customWidth="1"/>
    <col min="15634" max="15634" width="36.85546875" style="10" customWidth="1"/>
    <col min="15635" max="15641" width="14.28515625" style="10" customWidth="1"/>
    <col min="15642" max="15856" width="9.140625" style="10"/>
    <col min="15857" max="15857" width="38.5703125" style="10" customWidth="1"/>
    <col min="15858" max="15858" width="6.5703125" style="10" customWidth="1"/>
    <col min="15859" max="15859" width="7.7109375" style="10" bestFit="1" customWidth="1"/>
    <col min="15860" max="15860" width="7.28515625" style="10" customWidth="1"/>
    <col min="15861" max="15861" width="6.5703125" style="10" bestFit="1" customWidth="1"/>
    <col min="15862" max="15862" width="7.28515625" style="10" bestFit="1" customWidth="1"/>
    <col min="15863" max="15863" width="8.140625" style="10" customWidth="1"/>
    <col min="15864" max="15864" width="7.140625" style="10" customWidth="1"/>
    <col min="15865" max="15865" width="7.7109375" style="10" bestFit="1" customWidth="1"/>
    <col min="15866" max="15866" width="7.28515625" style="10" customWidth="1"/>
    <col min="15867" max="15867" width="7" style="10" customWidth="1"/>
    <col min="15868" max="15868" width="7.5703125" style="10" customWidth="1"/>
    <col min="15869" max="15869" width="7.140625" style="10" customWidth="1"/>
    <col min="15870" max="15870" width="7" style="10" customWidth="1"/>
    <col min="15871" max="15871" width="7.5703125" style="10" customWidth="1"/>
    <col min="15872" max="15872" width="7.140625" style="10" customWidth="1"/>
    <col min="15873" max="15889" width="8.7109375" style="10" customWidth="1"/>
    <col min="15890" max="15890" width="36.85546875" style="10" customWidth="1"/>
    <col min="15891" max="15897" width="14.28515625" style="10" customWidth="1"/>
    <col min="15898" max="16112" width="9.140625" style="10"/>
    <col min="16113" max="16113" width="38.5703125" style="10" customWidth="1"/>
    <col min="16114" max="16114" width="6.5703125" style="10" customWidth="1"/>
    <col min="16115" max="16115" width="7.7109375" style="10" bestFit="1" customWidth="1"/>
    <col min="16116" max="16116" width="7.28515625" style="10" customWidth="1"/>
    <col min="16117" max="16117" width="6.5703125" style="10" bestFit="1" customWidth="1"/>
    <col min="16118" max="16118" width="7.28515625" style="10" bestFit="1" customWidth="1"/>
    <col min="16119" max="16119" width="8.140625" style="10" customWidth="1"/>
    <col min="16120" max="16120" width="7.140625" style="10" customWidth="1"/>
    <col min="16121" max="16121" width="7.7109375" style="10" bestFit="1" customWidth="1"/>
    <col min="16122" max="16122" width="7.28515625" style="10" customWidth="1"/>
    <col min="16123" max="16123" width="7" style="10" customWidth="1"/>
    <col min="16124" max="16124" width="7.5703125" style="10" customWidth="1"/>
    <col min="16125" max="16125" width="7.140625" style="10" customWidth="1"/>
    <col min="16126" max="16126" width="7" style="10" customWidth="1"/>
    <col min="16127" max="16127" width="7.5703125" style="10" customWidth="1"/>
    <col min="16128" max="16128" width="7.140625" style="10" customWidth="1"/>
    <col min="16129" max="16145" width="8.7109375" style="10" customWidth="1"/>
    <col min="16146" max="16146" width="36.85546875" style="10" customWidth="1"/>
    <col min="16147" max="16153" width="14.28515625" style="10" customWidth="1"/>
    <col min="16154" max="16384" width="9.140625" style="10"/>
  </cols>
  <sheetData>
    <row r="1" spans="1:21" ht="16.5" customHeight="1">
      <c r="N1" s="1530" t="s">
        <v>877</v>
      </c>
      <c r="O1" s="1531"/>
      <c r="P1" s="768"/>
      <c r="Q1" s="768"/>
    </row>
    <row r="2" spans="1:21" ht="42" customHeight="1">
      <c r="A2" s="1464" t="s">
        <v>1105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728"/>
      <c r="Q2" s="728"/>
    </row>
    <row r="3" spans="1:21" ht="11.25" customHeight="1">
      <c r="B3" s="1407"/>
      <c r="C3" s="1407"/>
      <c r="D3" s="1407"/>
      <c r="E3" s="1407"/>
      <c r="F3" s="1407"/>
      <c r="G3" s="1407"/>
      <c r="H3" s="1407"/>
      <c r="I3" s="10"/>
      <c r="J3" s="10"/>
      <c r="K3" s="10"/>
      <c r="L3" s="10"/>
      <c r="M3" s="10"/>
      <c r="N3" s="10"/>
      <c r="O3" s="10"/>
      <c r="P3" s="10"/>
      <c r="Q3" s="10"/>
    </row>
    <row r="4" spans="1:21" s="188" customFormat="1" ht="25.5" customHeight="1">
      <c r="A4" s="183" t="s">
        <v>867</v>
      </c>
      <c r="B4" s="184"/>
      <c r="C4" s="1545" t="s">
        <v>1319</v>
      </c>
      <c r="D4" s="1545"/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769"/>
      <c r="Q4" s="769"/>
      <c r="S4" s="763"/>
    </row>
    <row r="5" spans="1:21">
      <c r="B5" s="228"/>
      <c r="C5" s="20"/>
      <c r="D5" s="20"/>
      <c r="E5" s="20"/>
      <c r="F5" s="20"/>
      <c r="G5" s="20"/>
      <c r="H5" s="20"/>
      <c r="I5" s="10"/>
      <c r="J5" s="10"/>
      <c r="K5" s="10"/>
      <c r="L5" s="10"/>
      <c r="M5" s="10"/>
      <c r="N5" s="10"/>
      <c r="O5" s="10"/>
      <c r="P5" s="10"/>
      <c r="Q5" s="10"/>
    </row>
    <row r="6" spans="1:21" s="23" customFormat="1" ht="20.100000000000001" customHeight="1">
      <c r="A6" s="1517" t="s">
        <v>878</v>
      </c>
      <c r="B6" s="1517"/>
      <c r="C6" s="1497" t="s">
        <v>1106</v>
      </c>
      <c r="D6" s="1498"/>
      <c r="E6" s="1498"/>
      <c r="F6" s="1498"/>
      <c r="G6" s="1498"/>
      <c r="H6" s="1498"/>
      <c r="I6" s="1499"/>
      <c r="J6" s="1499"/>
      <c r="K6" s="1499"/>
      <c r="L6" s="1499"/>
      <c r="M6" s="1499"/>
      <c r="N6" s="1499"/>
      <c r="O6" s="1500"/>
      <c r="P6" s="770"/>
      <c r="Q6" s="770"/>
      <c r="S6" s="764"/>
    </row>
    <row r="7" spans="1:21" s="23" customFormat="1" ht="20.100000000000001" customHeight="1">
      <c r="A7" s="1517"/>
      <c r="B7" s="1517"/>
      <c r="C7" s="1501" t="s">
        <v>154</v>
      </c>
      <c r="D7" s="1502" t="s">
        <v>155</v>
      </c>
      <c r="E7" s="1503"/>
      <c r="F7" s="1504" t="s">
        <v>156</v>
      </c>
      <c r="G7" s="1505"/>
      <c r="H7" s="1506"/>
      <c r="I7" s="1507" t="s">
        <v>880</v>
      </c>
      <c r="J7" s="1508"/>
      <c r="K7" s="1509"/>
      <c r="L7" s="1501" t="s">
        <v>136</v>
      </c>
      <c r="M7" s="1502"/>
      <c r="N7" s="1503"/>
      <c r="O7" s="1510" t="s">
        <v>138</v>
      </c>
      <c r="P7" s="771"/>
      <c r="Q7" s="771"/>
      <c r="S7" s="764"/>
    </row>
    <row r="8" spans="1:21" s="23" customFormat="1" ht="39.950000000000003" customHeight="1">
      <c r="A8" s="1517"/>
      <c r="B8" s="1517"/>
      <c r="C8" s="229" t="s">
        <v>882</v>
      </c>
      <c r="D8" s="230" t="s">
        <v>883</v>
      </c>
      <c r="E8" s="24" t="s">
        <v>138</v>
      </c>
      <c r="F8" s="229" t="s">
        <v>882</v>
      </c>
      <c r="G8" s="230" t="s">
        <v>883</v>
      </c>
      <c r="H8" s="24" t="s">
        <v>138</v>
      </c>
      <c r="I8" s="229" t="s">
        <v>882</v>
      </c>
      <c r="J8" s="230" t="s">
        <v>883</v>
      </c>
      <c r="K8" s="24" t="s">
        <v>138</v>
      </c>
      <c r="L8" s="229" t="s">
        <v>882</v>
      </c>
      <c r="M8" s="230" t="s">
        <v>883</v>
      </c>
      <c r="N8" s="24" t="s">
        <v>138</v>
      </c>
      <c r="O8" s="1511"/>
      <c r="P8" s="771"/>
      <c r="Q8" s="771"/>
      <c r="S8" s="1544"/>
      <c r="T8" s="1544"/>
      <c r="U8" s="1544"/>
    </row>
    <row r="9" spans="1:21" ht="15" customHeight="1">
      <c r="A9" s="1518" t="s">
        <v>142</v>
      </c>
      <c r="B9" s="1518"/>
      <c r="C9" s="1519"/>
      <c r="D9" s="1520"/>
      <c r="E9" s="1521"/>
      <c r="F9" s="1522"/>
      <c r="G9" s="1523"/>
      <c r="H9" s="1524"/>
      <c r="I9" s="1519"/>
      <c r="J9" s="1525"/>
      <c r="K9" s="1526"/>
      <c r="L9" s="1519"/>
      <c r="M9" s="1525"/>
      <c r="N9" s="1526"/>
      <c r="O9" s="248"/>
      <c r="P9" s="772"/>
      <c r="Q9" s="772"/>
    </row>
    <row r="10" spans="1:21" s="8" customFormat="1" ht="18.95" customHeight="1">
      <c r="A10" s="755">
        <v>1</v>
      </c>
      <c r="B10" s="750" t="str">
        <f>+'107 (a)'!B10</f>
        <v>Archaeology</v>
      </c>
      <c r="C10" s="756">
        <f>+'107 (a)'!E10*'107'!E61</f>
        <v>1.7050000000000001</v>
      </c>
      <c r="D10" s="756"/>
      <c r="E10" s="757">
        <f>C10+D10</f>
        <v>1.7050000000000001</v>
      </c>
      <c r="F10" s="756">
        <f>+'107 (a)'!H10*'107'!H11</f>
        <v>0.166375</v>
      </c>
      <c r="G10" s="756">
        <f>+F10</f>
        <v>0.166375</v>
      </c>
      <c r="H10" s="757">
        <f>F10+G10</f>
        <v>0.33274999999999999</v>
      </c>
      <c r="I10" s="756">
        <f>+'107 (a)'!K68*'107'!E108</f>
        <v>3.5947999999999998</v>
      </c>
      <c r="J10" s="756">
        <f>+'107 (a)'!K10*'107'!O11</f>
        <v>0</v>
      </c>
      <c r="K10" s="757">
        <f>I10+J10</f>
        <v>3.5947999999999998</v>
      </c>
      <c r="L10" s="756">
        <f>+'107 (a)'!N10*'107(b)'!Q10</f>
        <v>0.91999999999999993</v>
      </c>
      <c r="M10" s="756">
        <f>+'107 (a)'!O10*'107(b)'!R10</f>
        <v>0</v>
      </c>
      <c r="N10" s="757">
        <f>L10+M10</f>
        <v>0.91999999999999993</v>
      </c>
      <c r="O10" s="757">
        <f>+E10+H10+K10+N10</f>
        <v>6.5525500000000001</v>
      </c>
      <c r="P10" s="767">
        <v>8.4000000000000005E-2</v>
      </c>
      <c r="Q10" s="767">
        <v>9.1999999999999998E-2</v>
      </c>
      <c r="R10" s="767"/>
      <c r="T10" s="761" t="s">
        <v>1192</v>
      </c>
      <c r="U10" s="572">
        <f>30250/2/1000000</f>
        <v>1.5125E-2</v>
      </c>
    </row>
    <row r="11" spans="1:21" s="8" customFormat="1" ht="18.95" customHeight="1">
      <c r="A11" s="755">
        <v>2</v>
      </c>
      <c r="B11" s="750" t="str">
        <f>+'107 (a)'!B11</f>
        <v>Art &amp; Desig</v>
      </c>
      <c r="C11" s="756">
        <f>+'107 (a)'!E11*'107'!E60</f>
        <v>3.4452000000000003</v>
      </c>
      <c r="D11" s="756"/>
      <c r="E11" s="757">
        <f>C11+D11</f>
        <v>3.4452000000000003</v>
      </c>
      <c r="F11" s="756"/>
      <c r="G11" s="756">
        <f t="shared" ref="G11:G31" si="0">+F11</f>
        <v>0</v>
      </c>
      <c r="H11" s="757">
        <f>F11+G11</f>
        <v>0</v>
      </c>
      <c r="I11" s="756">
        <f>+'107 (a)'!K11*'107'!N12</f>
        <v>0</v>
      </c>
      <c r="J11" s="756">
        <f>+'107 (a)'!K11*'107'!O12</f>
        <v>0</v>
      </c>
      <c r="K11" s="757">
        <f>I11+J11</f>
        <v>0</v>
      </c>
      <c r="L11" s="756">
        <f>+'107 (a)'!N11*'107(b)'!Q11</f>
        <v>0</v>
      </c>
      <c r="M11" s="756">
        <f>+'107 (a)'!N11*'107'!R12</f>
        <v>0</v>
      </c>
      <c r="N11" s="757">
        <f>L11+M11</f>
        <v>0</v>
      </c>
      <c r="O11" s="757">
        <f t="shared" ref="O11:O16" si="1">+E11+H11+K11+N11</f>
        <v>3.4452000000000003</v>
      </c>
      <c r="P11" s="767">
        <v>8.4000000000000005E-2</v>
      </c>
      <c r="Q11" s="767">
        <v>9.1999999999999998E-2</v>
      </c>
      <c r="S11" s="761" t="s">
        <v>1193</v>
      </c>
      <c r="T11" s="572">
        <f>41150/2/1000000</f>
        <v>2.0575E-2</v>
      </c>
    </row>
    <row r="12" spans="1:21" s="8" customFormat="1" ht="18.95" customHeight="1">
      <c r="A12" s="755">
        <v>3</v>
      </c>
      <c r="B12" s="750" t="str">
        <f>+'107 (a)'!B12</f>
        <v>English</v>
      </c>
      <c r="C12" s="756">
        <f>+'107 (a)'!E12*'107'!E62</f>
        <v>2.75</v>
      </c>
      <c r="D12" s="756"/>
      <c r="E12" s="757">
        <f t="shared" ref="E12:E15" si="2">C12+D12</f>
        <v>2.75</v>
      </c>
      <c r="F12" s="756">
        <f>+'107 (a)'!H12*'107(b)'!T12</f>
        <v>1.6335</v>
      </c>
      <c r="G12" s="756">
        <f t="shared" si="0"/>
        <v>1.6335</v>
      </c>
      <c r="H12" s="757">
        <f t="shared" ref="H12:H15" si="3">F12+G12</f>
        <v>3.2669999999999999</v>
      </c>
      <c r="I12" s="756">
        <f>+'107 (a)'!K12*'107(b)'!P12</f>
        <v>1.6800000000000002</v>
      </c>
      <c r="J12" s="756">
        <f>+'107 (a)'!K12*'107'!O13</f>
        <v>0</v>
      </c>
      <c r="K12" s="757">
        <f t="shared" ref="K12:K15" si="4">I12+J12</f>
        <v>1.6800000000000002</v>
      </c>
      <c r="L12" s="756">
        <f>+'107 (a)'!N12*'107(b)'!Q12</f>
        <v>0.91999999999999993</v>
      </c>
      <c r="M12" s="756">
        <f>+'107 (a)'!N12*'107'!R13</f>
        <v>0</v>
      </c>
      <c r="N12" s="757">
        <f t="shared" ref="N12:N15" si="5">L12+M12</f>
        <v>0.91999999999999993</v>
      </c>
      <c r="O12" s="757">
        <f t="shared" si="1"/>
        <v>8.6169999999999991</v>
      </c>
      <c r="P12" s="767">
        <v>8.4000000000000005E-2</v>
      </c>
      <c r="Q12" s="767">
        <v>9.1999999999999998E-2</v>
      </c>
      <c r="S12" s="761" t="s">
        <v>1194</v>
      </c>
      <c r="T12" s="572">
        <f>36300/2/1000000</f>
        <v>1.8149999999999999E-2</v>
      </c>
    </row>
    <row r="13" spans="1:21" s="8" customFormat="1" ht="18.95" customHeight="1">
      <c r="A13" s="755">
        <v>4</v>
      </c>
      <c r="B13" s="750" t="str">
        <f>+'107 (a)'!B13</f>
        <v>History</v>
      </c>
      <c r="C13" s="756"/>
      <c r="D13" s="756"/>
      <c r="E13" s="757">
        <f t="shared" si="2"/>
        <v>0</v>
      </c>
      <c r="F13" s="756">
        <f>+'107 (a)'!H13*'107(b)'!T13</f>
        <v>0.31762499999999999</v>
      </c>
      <c r="G13" s="756">
        <f t="shared" si="0"/>
        <v>0.31762499999999999</v>
      </c>
      <c r="H13" s="757">
        <f t="shared" si="3"/>
        <v>0.63524999999999998</v>
      </c>
      <c r="I13" s="756">
        <f>+'107 (a)'!K13*'107(b)'!P13</f>
        <v>0.33600000000000002</v>
      </c>
      <c r="J13" s="756">
        <f>+'107 (a)'!K13*'107'!O14</f>
        <v>0</v>
      </c>
      <c r="K13" s="757">
        <f t="shared" si="4"/>
        <v>0.33600000000000002</v>
      </c>
      <c r="L13" s="756">
        <f>+'107 (a)'!N13*'107(b)'!Q13</f>
        <v>9.1999999999999998E-2</v>
      </c>
      <c r="M13" s="756">
        <f>+'107 (a)'!N13*'107'!R14</f>
        <v>0</v>
      </c>
      <c r="N13" s="757">
        <f t="shared" si="5"/>
        <v>9.1999999999999998E-2</v>
      </c>
      <c r="O13" s="757">
        <f t="shared" si="1"/>
        <v>1.06325</v>
      </c>
      <c r="P13" s="767">
        <v>8.4000000000000005E-2</v>
      </c>
      <c r="Q13" s="767">
        <v>9.1999999999999998E-2</v>
      </c>
      <c r="S13" s="761" t="s">
        <v>1195</v>
      </c>
      <c r="T13" s="572">
        <f>30250/2/1000000</f>
        <v>1.5125E-2</v>
      </c>
    </row>
    <row r="14" spans="1:21" s="8" customFormat="1" ht="18.95" customHeight="1">
      <c r="A14" s="755">
        <v>5</v>
      </c>
      <c r="B14" s="750" t="str">
        <f>+'107 (a)'!B14</f>
        <v>Hotel &amp; Tourism Mang</v>
      </c>
      <c r="C14" s="756"/>
      <c r="D14" s="756"/>
      <c r="E14" s="757">
        <f t="shared" si="2"/>
        <v>0</v>
      </c>
      <c r="F14" s="756"/>
      <c r="G14" s="756">
        <f t="shared" si="0"/>
        <v>0</v>
      </c>
      <c r="H14" s="757">
        <f t="shared" si="3"/>
        <v>0</v>
      </c>
      <c r="I14" s="756">
        <f>+'107 (a)'!K14*'107'!N15</f>
        <v>0</v>
      </c>
      <c r="J14" s="756">
        <f>+'107 (a)'!K14*'107'!O15</f>
        <v>0</v>
      </c>
      <c r="K14" s="757">
        <f t="shared" si="4"/>
        <v>0</v>
      </c>
      <c r="L14" s="756">
        <f>+'107 (a)'!N14*'107(b)'!Q14</f>
        <v>0</v>
      </c>
      <c r="M14" s="756">
        <f>+'107 (a)'!N14*'107'!R15</f>
        <v>0</v>
      </c>
      <c r="N14" s="757">
        <f t="shared" si="5"/>
        <v>0</v>
      </c>
      <c r="O14" s="757">
        <f t="shared" si="1"/>
        <v>0</v>
      </c>
      <c r="P14" s="767">
        <v>8.4000000000000005E-2</v>
      </c>
      <c r="Q14" s="767">
        <v>9.1999999999999998E-2</v>
      </c>
      <c r="S14" s="761" t="s">
        <v>1196</v>
      </c>
      <c r="T14" s="572">
        <f>27800/2/1000000</f>
        <v>1.3899999999999999E-2</v>
      </c>
    </row>
    <row r="15" spans="1:21" s="8" customFormat="1" ht="18.95" customHeight="1">
      <c r="A15" s="755">
        <v>6</v>
      </c>
      <c r="B15" s="750" t="str">
        <f>+'107 (a)'!B15</f>
        <v>Philosophy</v>
      </c>
      <c r="C15" s="756"/>
      <c r="D15" s="756"/>
      <c r="E15" s="757">
        <f t="shared" si="2"/>
        <v>0</v>
      </c>
      <c r="F15" s="756">
        <f>+'107 (a)'!H15*'107(b)'!T14</f>
        <v>0.12509999999999999</v>
      </c>
      <c r="G15" s="756">
        <f t="shared" si="0"/>
        <v>0.12509999999999999</v>
      </c>
      <c r="H15" s="757">
        <f t="shared" si="3"/>
        <v>0.25019999999999998</v>
      </c>
      <c r="I15" s="756">
        <f>+'107 (a)'!K15*'107'!N16</f>
        <v>0</v>
      </c>
      <c r="J15" s="756">
        <f>+'107 (a)'!K15*'107'!O16</f>
        <v>0</v>
      </c>
      <c r="K15" s="757">
        <f t="shared" si="4"/>
        <v>0</v>
      </c>
      <c r="L15" s="756">
        <f>+'107 (a)'!N15*'107(b)'!Q15</f>
        <v>0</v>
      </c>
      <c r="M15" s="756">
        <f>+'107 (a)'!N15*'107'!R16</f>
        <v>0</v>
      </c>
      <c r="N15" s="757">
        <f t="shared" si="5"/>
        <v>0</v>
      </c>
      <c r="O15" s="757">
        <f t="shared" si="1"/>
        <v>0.25019999999999998</v>
      </c>
      <c r="P15" s="767">
        <v>8.4000000000000005E-2</v>
      </c>
      <c r="Q15" s="767">
        <v>9.1999999999999998E-2</v>
      </c>
      <c r="S15" s="765"/>
    </row>
    <row r="16" spans="1:21" ht="20.100000000000001" customHeight="1">
      <c r="A16" s="1541" t="s">
        <v>893</v>
      </c>
      <c r="B16" s="1541"/>
      <c r="C16" s="758">
        <f>SUM(C10:C15)</f>
        <v>7.9001999999999999</v>
      </c>
      <c r="D16" s="758">
        <f t="shared" ref="D16:N16" si="6">SUM(D10:D15)</f>
        <v>0</v>
      </c>
      <c r="E16" s="758">
        <f t="shared" si="6"/>
        <v>7.9001999999999999</v>
      </c>
      <c r="F16" s="758">
        <f t="shared" si="6"/>
        <v>2.2425999999999995</v>
      </c>
      <c r="G16" s="758">
        <f t="shared" si="6"/>
        <v>2.2425999999999995</v>
      </c>
      <c r="H16" s="758">
        <f t="shared" si="6"/>
        <v>4.485199999999999</v>
      </c>
      <c r="I16" s="758">
        <f t="shared" si="6"/>
        <v>5.6108000000000002</v>
      </c>
      <c r="J16" s="758">
        <f t="shared" si="6"/>
        <v>0</v>
      </c>
      <c r="K16" s="758">
        <f t="shared" si="6"/>
        <v>5.6108000000000002</v>
      </c>
      <c r="L16" s="758">
        <f t="shared" si="6"/>
        <v>1.9319999999999999</v>
      </c>
      <c r="M16" s="758">
        <f t="shared" si="6"/>
        <v>0</v>
      </c>
      <c r="N16" s="758">
        <f t="shared" si="6"/>
        <v>1.9319999999999999</v>
      </c>
      <c r="O16" s="757">
        <f t="shared" si="1"/>
        <v>19.928199999999997</v>
      </c>
      <c r="P16" s="767">
        <v>8.4000000000000005E-2</v>
      </c>
      <c r="Q16" s="767">
        <v>9.1999999999999998E-2</v>
      </c>
    </row>
    <row r="17" spans="1:20" ht="15" customHeight="1">
      <c r="A17" s="1534" t="s">
        <v>147</v>
      </c>
      <c r="B17" s="1535"/>
      <c r="C17" s="748"/>
      <c r="D17" s="748"/>
      <c r="E17" s="749"/>
      <c r="F17" s="748"/>
      <c r="G17" s="748"/>
      <c r="H17" s="749"/>
      <c r="I17" s="748"/>
      <c r="J17" s="748"/>
      <c r="K17" s="749"/>
      <c r="L17" s="748"/>
      <c r="M17" s="748"/>
      <c r="N17" s="749"/>
      <c r="O17" s="748"/>
      <c r="P17" s="767">
        <v>8.4000000000000005E-2</v>
      </c>
      <c r="Q17" s="767">
        <v>9.1999999999999998E-2</v>
      </c>
    </row>
    <row r="18" spans="1:20" s="8" customFormat="1" ht="18.95" customHeight="1">
      <c r="A18" s="755">
        <v>1</v>
      </c>
      <c r="B18" s="750" t="str">
        <f>+'107 (a)'!B18</f>
        <v>Economics</v>
      </c>
      <c r="C18" s="756">
        <f>+'107 (a)'!E18*'107'!E91</f>
        <v>13.442</v>
      </c>
      <c r="D18" s="756"/>
      <c r="E18" s="757">
        <f>C18+D18</f>
        <v>13.442</v>
      </c>
      <c r="F18" s="756">
        <f>+'107 (a)'!H18*'107(b)'!T46</f>
        <v>2.3231999999999999</v>
      </c>
      <c r="G18" s="756">
        <f t="shared" si="0"/>
        <v>2.3231999999999999</v>
      </c>
      <c r="H18" s="757">
        <f>F18+G18</f>
        <v>4.6463999999999999</v>
      </c>
      <c r="I18" s="756">
        <f>+'107 (a)'!K18*'107(b)'!P18</f>
        <v>8.5680000000000014</v>
      </c>
      <c r="J18" s="756"/>
      <c r="K18" s="757">
        <f>I18+J18</f>
        <v>8.5680000000000014</v>
      </c>
      <c r="L18" s="756">
        <f>+'107 (a)'!N18*'107(b)'!Q18</f>
        <v>5.52</v>
      </c>
      <c r="M18" s="756"/>
      <c r="N18" s="757">
        <f>L18+M18</f>
        <v>5.52</v>
      </c>
      <c r="O18" s="757">
        <f t="shared" ref="O18:O33" si="7">+E18+H18+K18+N18</f>
        <v>32.176400000000001</v>
      </c>
      <c r="P18" s="767">
        <v>8.4000000000000005E-2</v>
      </c>
      <c r="Q18" s="767">
        <v>9.1999999999999998E-2</v>
      </c>
      <c r="S18" s="761" t="s">
        <v>1198</v>
      </c>
      <c r="T18" s="572">
        <f t="shared" ref="T18:T20" si="8">30250/2/1000000</f>
        <v>1.5125E-2</v>
      </c>
    </row>
    <row r="19" spans="1:20" s="8" customFormat="1" ht="18.95" customHeight="1">
      <c r="A19" s="755">
        <v>2</v>
      </c>
      <c r="B19" s="750" t="str">
        <f>+'107 (a)'!B19</f>
        <v>I.E.R.</v>
      </c>
      <c r="C19" s="756">
        <f>+'107 (a)'!E19*'107'!E94</f>
        <v>5.6055999999999999</v>
      </c>
      <c r="D19" s="756"/>
      <c r="E19" s="757">
        <f>C19+D19</f>
        <v>5.6055999999999999</v>
      </c>
      <c r="F19" s="756">
        <f>+T47*'107 (a)'!H21</f>
        <v>2.6619999999999999</v>
      </c>
      <c r="G19" s="756">
        <f t="shared" si="0"/>
        <v>2.6619999999999999</v>
      </c>
      <c r="H19" s="757">
        <f>F19+G19</f>
        <v>5.3239999999999998</v>
      </c>
      <c r="I19" s="756">
        <f>+'107 (a)'!K19*'107(b)'!P19</f>
        <v>1.6800000000000002</v>
      </c>
      <c r="J19" s="756"/>
      <c r="K19" s="757">
        <f>I19+J19</f>
        <v>1.6800000000000002</v>
      </c>
      <c r="L19" s="756">
        <f>+'107 (a)'!N19*'107(b)'!Q19</f>
        <v>4.8760000000000003</v>
      </c>
      <c r="M19" s="756"/>
      <c r="N19" s="757">
        <f>L19+M19</f>
        <v>4.8760000000000003</v>
      </c>
      <c r="O19" s="757">
        <f t="shared" si="7"/>
        <v>17.485600000000002</v>
      </c>
      <c r="P19" s="767">
        <v>8.4000000000000005E-2</v>
      </c>
      <c r="Q19" s="767">
        <v>9.1999999999999998E-2</v>
      </c>
      <c r="S19" s="761" t="s">
        <v>1199</v>
      </c>
      <c r="T19" s="572">
        <f t="shared" si="8"/>
        <v>1.5125E-2</v>
      </c>
    </row>
    <row r="20" spans="1:20" s="8" customFormat="1" ht="18.95" customHeight="1">
      <c r="A20" s="755">
        <v>3</v>
      </c>
      <c r="B20" s="750" t="str">
        <f>+'107 (a)'!B20</f>
        <v>IPCS</v>
      </c>
      <c r="C20" s="756">
        <f>+'107 (a)'!E20*'107'!E102</f>
        <v>1.7050000000000001</v>
      </c>
      <c r="D20" s="756"/>
      <c r="E20" s="757">
        <f t="shared" ref="E20" si="9">C20+D20</f>
        <v>1.7050000000000001</v>
      </c>
      <c r="F20" s="756">
        <f>+T57*'107 (a)'!H20</f>
        <v>1.2782</v>
      </c>
      <c r="G20" s="756">
        <f t="shared" si="0"/>
        <v>1.2782</v>
      </c>
      <c r="H20" s="757">
        <f t="shared" ref="H20" si="10">F20+G20</f>
        <v>2.5564</v>
      </c>
      <c r="I20" s="756">
        <f>+'107 (a)'!K20*'107(b)'!P20</f>
        <v>0</v>
      </c>
      <c r="J20" s="756"/>
      <c r="K20" s="757">
        <f t="shared" ref="K20" si="11">I20+J20</f>
        <v>0</v>
      </c>
      <c r="L20" s="756">
        <f>+'107 (a)'!N20*'107(b)'!Q20</f>
        <v>0</v>
      </c>
      <c r="M20" s="756"/>
      <c r="N20" s="757">
        <f t="shared" ref="N20" si="12">L20+M20</f>
        <v>0</v>
      </c>
      <c r="O20" s="757">
        <f t="shared" si="7"/>
        <v>4.2614000000000001</v>
      </c>
      <c r="P20" s="767">
        <v>8.4000000000000005E-2</v>
      </c>
      <c r="Q20" s="767">
        <v>9.1999999999999998E-2</v>
      </c>
      <c r="S20" s="761" t="s">
        <v>1200</v>
      </c>
      <c r="T20" s="572">
        <f t="shared" si="8"/>
        <v>1.5125E-2</v>
      </c>
    </row>
    <row r="21" spans="1:20" s="8" customFormat="1" ht="18.95" customHeight="1">
      <c r="A21" s="755">
        <v>4</v>
      </c>
      <c r="B21" s="750" t="str">
        <f>+'107 (a)'!B21</f>
        <v>International Relations</v>
      </c>
      <c r="C21" s="756">
        <f>+'107 (a)'!E21*'107'!E95</f>
        <v>8.8176000000000005</v>
      </c>
      <c r="D21" s="756"/>
      <c r="E21" s="757">
        <f t="shared" ref="E21:E30" si="13">C21+D21</f>
        <v>8.8176000000000005</v>
      </c>
      <c r="F21" s="756">
        <f>+'107 (a)'!H21*'107(b)'!T48</f>
        <v>1.9964999999999999</v>
      </c>
      <c r="G21" s="756">
        <f t="shared" si="0"/>
        <v>1.9964999999999999</v>
      </c>
      <c r="H21" s="757">
        <f t="shared" ref="H21:H30" si="14">F21+G21</f>
        <v>3.9929999999999999</v>
      </c>
      <c r="I21" s="756">
        <f>+'107 (a)'!K21*'107(b)'!P21</f>
        <v>0.58800000000000008</v>
      </c>
      <c r="J21" s="756"/>
      <c r="K21" s="757">
        <f t="shared" ref="K21:K30" si="15">I21+J21</f>
        <v>0.58800000000000008</v>
      </c>
      <c r="L21" s="756">
        <f>+'107 (a)'!N21*'107(b)'!Q21</f>
        <v>0.27600000000000002</v>
      </c>
      <c r="M21" s="756"/>
      <c r="N21" s="757">
        <f t="shared" ref="N21:N30" si="16">L21+M21</f>
        <v>0.27600000000000002</v>
      </c>
      <c r="O21" s="757">
        <f t="shared" si="7"/>
        <v>13.674600000000002</v>
      </c>
      <c r="P21" s="767">
        <v>8.4000000000000005E-2</v>
      </c>
      <c r="Q21" s="767">
        <v>9.1999999999999998E-2</v>
      </c>
      <c r="S21" s="761" t="s">
        <v>1201</v>
      </c>
      <c r="T21" s="576">
        <f>27800/2/1000000</f>
        <v>1.3899999999999999E-2</v>
      </c>
    </row>
    <row r="22" spans="1:20" s="8" customFormat="1" ht="18.95" customHeight="1">
      <c r="A22" s="755">
        <v>5</v>
      </c>
      <c r="B22" s="750" t="str">
        <f>+'107 (a)'!B22</f>
        <v>Gender Studies</v>
      </c>
      <c r="C22" s="756">
        <f>+'107 (a)'!E22*'107'!E96</f>
        <v>2.64</v>
      </c>
      <c r="D22" s="756"/>
      <c r="E22" s="757">
        <f t="shared" si="13"/>
        <v>2.64</v>
      </c>
      <c r="F22" s="756">
        <f>+T49*'107 (a)'!H22</f>
        <v>0.21254999999999999</v>
      </c>
      <c r="G22" s="756">
        <f t="shared" si="0"/>
        <v>0.21254999999999999</v>
      </c>
      <c r="H22" s="757">
        <f t="shared" si="14"/>
        <v>0.42509999999999998</v>
      </c>
      <c r="I22" s="756">
        <f>+'107 (a)'!K22*'107(b)'!P22</f>
        <v>0.58800000000000008</v>
      </c>
      <c r="J22" s="756"/>
      <c r="K22" s="757">
        <f t="shared" si="15"/>
        <v>0.58800000000000008</v>
      </c>
      <c r="L22" s="756">
        <f>+'107 (a)'!N22*'107(b)'!Q22</f>
        <v>9.1999999999999998E-2</v>
      </c>
      <c r="M22" s="756"/>
      <c r="N22" s="757">
        <f t="shared" si="16"/>
        <v>9.1999999999999998E-2</v>
      </c>
      <c r="O22" s="757">
        <f t="shared" si="7"/>
        <v>3.7451000000000003</v>
      </c>
      <c r="P22" s="767">
        <v>8.4000000000000005E-2</v>
      </c>
      <c r="Q22" s="767">
        <v>9.1999999999999998E-2</v>
      </c>
      <c r="S22" s="761" t="s">
        <v>1202</v>
      </c>
      <c r="T22" s="572">
        <f>30250/2/1000000</f>
        <v>1.5125E-2</v>
      </c>
    </row>
    <row r="23" spans="1:20" s="8" customFormat="1" ht="18.95" customHeight="1">
      <c r="A23" s="755">
        <v>6</v>
      </c>
      <c r="B23" s="750" t="str">
        <f>+'107 (a)'!B23</f>
        <v>Law College</v>
      </c>
      <c r="C23" s="756">
        <f>+'107 (a)'!E23*'107'!E92</f>
        <v>6.8068</v>
      </c>
      <c r="D23" s="756"/>
      <c r="E23" s="757">
        <f t="shared" si="13"/>
        <v>6.8068</v>
      </c>
      <c r="F23" s="756">
        <f>+T50*'107 (a)'!H23</f>
        <v>4.1079499999999998</v>
      </c>
      <c r="G23" s="756">
        <f t="shared" si="0"/>
        <v>4.1079499999999998</v>
      </c>
      <c r="H23" s="757">
        <f t="shared" si="14"/>
        <v>8.2158999999999995</v>
      </c>
      <c r="I23" s="756">
        <f>+'107 (a)'!K23*'107(b)'!P23</f>
        <v>0.42000000000000004</v>
      </c>
      <c r="J23" s="756"/>
      <c r="K23" s="757">
        <f t="shared" si="15"/>
        <v>0.42000000000000004</v>
      </c>
      <c r="L23" s="756">
        <f>+'107 (a)'!N23*'107(b)'!Q23</f>
        <v>0.91999999999999993</v>
      </c>
      <c r="M23" s="756"/>
      <c r="N23" s="757">
        <f t="shared" si="16"/>
        <v>0.91999999999999993</v>
      </c>
      <c r="O23" s="757">
        <f t="shared" si="7"/>
        <v>16.3627</v>
      </c>
      <c r="P23" s="767">
        <v>8.4000000000000005E-2</v>
      </c>
      <c r="Q23" s="767">
        <v>9.1999999999999998E-2</v>
      </c>
      <c r="S23" s="765"/>
    </row>
    <row r="24" spans="1:20" s="8" customFormat="1" ht="18.95" customHeight="1">
      <c r="A24" s="755">
        <v>7</v>
      </c>
      <c r="B24" s="750" t="str">
        <f>+'107 (a)'!B24</f>
        <v>Political Science</v>
      </c>
      <c r="C24" s="756">
        <f>+'107 (a)'!E24*'107'!E97</f>
        <v>8.8550000000000004</v>
      </c>
      <c r="D24" s="756"/>
      <c r="E24" s="757">
        <f t="shared" si="13"/>
        <v>8.8550000000000004</v>
      </c>
      <c r="F24" s="756">
        <f>+T51*'107 (a)'!H24</f>
        <v>2.2505999999999999</v>
      </c>
      <c r="G24" s="756">
        <f t="shared" si="0"/>
        <v>2.2505999999999999</v>
      </c>
      <c r="H24" s="757">
        <f t="shared" si="14"/>
        <v>4.5011999999999999</v>
      </c>
      <c r="I24" s="756">
        <f>+'107 (a)'!K24*'107(b)'!P24</f>
        <v>6.7200000000000006</v>
      </c>
      <c r="J24" s="756"/>
      <c r="K24" s="757">
        <f t="shared" si="15"/>
        <v>6.7200000000000006</v>
      </c>
      <c r="L24" s="756">
        <f>+'107 (a)'!N24*'107(b)'!Q24</f>
        <v>2.76</v>
      </c>
      <c r="M24" s="756"/>
      <c r="N24" s="757">
        <f t="shared" si="16"/>
        <v>2.76</v>
      </c>
      <c r="O24" s="757">
        <f t="shared" si="7"/>
        <v>22.836199999999998</v>
      </c>
      <c r="P24" s="767">
        <v>8.4000000000000005E-2</v>
      </c>
      <c r="Q24" s="767">
        <v>9.1999999999999998E-2</v>
      </c>
      <c r="S24" s="761" t="s">
        <v>1204</v>
      </c>
      <c r="T24" s="576">
        <f>48400/2/1000000</f>
        <v>2.4199999999999999E-2</v>
      </c>
    </row>
    <row r="25" spans="1:20" s="8" customFormat="1" ht="18.95" customHeight="1">
      <c r="A25" s="755">
        <v>8</v>
      </c>
      <c r="B25" s="750" t="str">
        <f>+'107 (a)'!B25</f>
        <v>Psychology</v>
      </c>
      <c r="C25" s="756">
        <f>+'107 (a)'!E25*'107'!E98</f>
        <v>9.4049999999999994</v>
      </c>
      <c r="D25" s="756"/>
      <c r="E25" s="757">
        <f t="shared" si="13"/>
        <v>9.4049999999999994</v>
      </c>
      <c r="F25" s="756">
        <f>+T52*'107 (a)'!H25</f>
        <v>1.3763749999999999</v>
      </c>
      <c r="G25" s="756">
        <f t="shared" si="0"/>
        <v>1.3763749999999999</v>
      </c>
      <c r="H25" s="757">
        <f t="shared" si="14"/>
        <v>2.7527499999999998</v>
      </c>
      <c r="I25" s="756">
        <f>+'107 (a)'!K25*'107(b)'!P25</f>
        <v>2.2680000000000002</v>
      </c>
      <c r="J25" s="756"/>
      <c r="K25" s="757">
        <f t="shared" si="15"/>
        <v>2.2680000000000002</v>
      </c>
      <c r="L25" s="756">
        <f>+'107 (a)'!N25*'107(b)'!Q25</f>
        <v>0.91999999999999993</v>
      </c>
      <c r="M25" s="756"/>
      <c r="N25" s="757">
        <f t="shared" si="16"/>
        <v>0.91999999999999993</v>
      </c>
      <c r="O25" s="757">
        <f t="shared" si="7"/>
        <v>15.345750000000001</v>
      </c>
      <c r="P25" s="767">
        <v>8.4000000000000005E-2</v>
      </c>
      <c r="Q25" s="767">
        <v>9.1999999999999998E-2</v>
      </c>
      <c r="S25" s="761" t="s">
        <v>1205</v>
      </c>
      <c r="T25" s="576">
        <f>50800/1000000/2</f>
        <v>2.5399999999999999E-2</v>
      </c>
    </row>
    <row r="26" spans="1:20" s="8" customFormat="1" ht="18.95" customHeight="1">
      <c r="A26" s="755">
        <v>9</v>
      </c>
      <c r="B26" s="750" t="str">
        <f>+'107 (a)'!B26</f>
        <v>Regional Studies</v>
      </c>
      <c r="C26" s="756"/>
      <c r="D26" s="756"/>
      <c r="E26" s="757">
        <f t="shared" si="13"/>
        <v>0</v>
      </c>
      <c r="F26" s="756">
        <f>+'107 (a)'!H26*'107(b)'!T53</f>
        <v>0.30854999999999999</v>
      </c>
      <c r="G26" s="756">
        <f t="shared" si="0"/>
        <v>0.30854999999999999</v>
      </c>
      <c r="H26" s="757">
        <f t="shared" si="14"/>
        <v>0.61709999999999998</v>
      </c>
      <c r="I26" s="756">
        <f>+P26*'107 (a)'!K26</f>
        <v>1.4280000000000002</v>
      </c>
      <c r="J26" s="756"/>
      <c r="K26" s="757">
        <f t="shared" si="15"/>
        <v>1.4280000000000002</v>
      </c>
      <c r="L26" s="756">
        <f>+'107 (a)'!N26*'107(b)'!Q26</f>
        <v>0</v>
      </c>
      <c r="M26" s="756"/>
      <c r="N26" s="757">
        <f t="shared" si="16"/>
        <v>0</v>
      </c>
      <c r="O26" s="757">
        <f t="shared" si="7"/>
        <v>2.0451000000000001</v>
      </c>
      <c r="P26" s="767">
        <v>8.4000000000000005E-2</v>
      </c>
      <c r="Q26" s="767">
        <v>9.1999999999999998E-2</v>
      </c>
      <c r="S26" s="761" t="s">
        <v>1206</v>
      </c>
      <c r="T26" s="576">
        <f>48400/2/1000000</f>
        <v>2.4199999999999999E-2</v>
      </c>
    </row>
    <row r="27" spans="1:20" s="8" customFormat="1" ht="18.95" customHeight="1">
      <c r="A27" s="755">
        <v>10</v>
      </c>
      <c r="B27" s="750" t="str">
        <f>+'107 (a)'!B27</f>
        <v>Social Anthropology</v>
      </c>
      <c r="C27" s="756"/>
      <c r="D27" s="756"/>
      <c r="E27" s="757">
        <f t="shared" si="13"/>
        <v>0</v>
      </c>
      <c r="F27" s="756">
        <f>+T54*'107 (a)'!H27</f>
        <v>0.33274999999999999</v>
      </c>
      <c r="G27" s="756">
        <f t="shared" si="0"/>
        <v>0.33274999999999999</v>
      </c>
      <c r="H27" s="757">
        <f t="shared" si="14"/>
        <v>0.66549999999999998</v>
      </c>
      <c r="I27" s="756">
        <f>+P27*'107 (a)'!K27</f>
        <v>1.3440000000000001</v>
      </c>
      <c r="J27" s="756"/>
      <c r="K27" s="757">
        <f t="shared" si="15"/>
        <v>1.3440000000000001</v>
      </c>
      <c r="L27" s="756">
        <f>+'107 (a)'!N27*'107(b)'!Q27</f>
        <v>0.36799999999999999</v>
      </c>
      <c r="M27" s="756"/>
      <c r="N27" s="757">
        <f t="shared" si="16"/>
        <v>0.36799999999999999</v>
      </c>
      <c r="O27" s="757">
        <f t="shared" si="7"/>
        <v>2.3774999999999999</v>
      </c>
      <c r="P27" s="767">
        <v>8.4000000000000005E-2</v>
      </c>
      <c r="Q27" s="767">
        <v>9.1999999999999998E-2</v>
      </c>
      <c r="S27" s="761" t="s">
        <v>1207</v>
      </c>
      <c r="T27" s="572">
        <f>30250/2/1000000</f>
        <v>1.5125E-2</v>
      </c>
    </row>
    <row r="28" spans="1:20" s="8" customFormat="1" ht="18.95" customHeight="1">
      <c r="A28" s="755">
        <v>11</v>
      </c>
      <c r="B28" s="750" t="str">
        <f>+'107 (a)'!B28</f>
        <v>J.C.W</v>
      </c>
      <c r="C28" s="756">
        <f>+'107 (a)'!E28*'107'!E103</f>
        <v>12.5</v>
      </c>
      <c r="D28" s="756"/>
      <c r="E28" s="757">
        <f t="shared" si="13"/>
        <v>12.5</v>
      </c>
      <c r="F28" s="756"/>
      <c r="G28" s="756">
        <f t="shared" si="0"/>
        <v>0</v>
      </c>
      <c r="H28" s="757">
        <f t="shared" si="14"/>
        <v>0</v>
      </c>
      <c r="I28" s="756"/>
      <c r="J28" s="756"/>
      <c r="K28" s="757">
        <f t="shared" si="15"/>
        <v>0</v>
      </c>
      <c r="L28" s="756">
        <f>+'107 (a)'!N28*'107(b)'!Q28</f>
        <v>0</v>
      </c>
      <c r="M28" s="756"/>
      <c r="N28" s="757">
        <f t="shared" si="16"/>
        <v>0</v>
      </c>
      <c r="O28" s="757">
        <f t="shared" si="7"/>
        <v>12.5</v>
      </c>
      <c r="P28" s="767">
        <v>8.4000000000000005E-2</v>
      </c>
      <c r="Q28" s="767">
        <v>9.1999999999999998E-2</v>
      </c>
      <c r="S28" s="761" t="s">
        <v>1208</v>
      </c>
      <c r="T28" s="576">
        <f>50800/1000000/2</f>
        <v>2.5399999999999999E-2</v>
      </c>
    </row>
    <row r="29" spans="1:20" s="8" customFormat="1" ht="18.95" customHeight="1">
      <c r="A29" s="755">
        <v>12</v>
      </c>
      <c r="B29" s="750" t="str">
        <f>+'107 (a)'!B29</f>
        <v>Criminology</v>
      </c>
      <c r="C29" s="756"/>
      <c r="D29" s="756"/>
      <c r="E29" s="757">
        <f t="shared" si="13"/>
        <v>0</v>
      </c>
      <c r="F29" s="756">
        <f>+T58*'107 (a)'!H29</f>
        <v>1.635</v>
      </c>
      <c r="G29" s="756">
        <f t="shared" si="0"/>
        <v>1.635</v>
      </c>
      <c r="H29" s="757">
        <f t="shared" si="14"/>
        <v>3.27</v>
      </c>
      <c r="I29" s="756"/>
      <c r="J29" s="756"/>
      <c r="K29" s="757">
        <f t="shared" si="15"/>
        <v>0</v>
      </c>
      <c r="L29" s="756">
        <f>+'107 (a)'!N29*'107(b)'!Q29</f>
        <v>0</v>
      </c>
      <c r="M29" s="756"/>
      <c r="N29" s="757">
        <f t="shared" si="16"/>
        <v>0</v>
      </c>
      <c r="O29" s="757">
        <f t="shared" si="7"/>
        <v>3.27</v>
      </c>
      <c r="P29" s="767">
        <v>8.4000000000000005E-2</v>
      </c>
      <c r="Q29" s="767">
        <v>9.1999999999999998E-2</v>
      </c>
      <c r="S29" s="761" t="s">
        <v>1209</v>
      </c>
      <c r="T29" s="576">
        <f>48400/1000000</f>
        <v>4.8399999999999999E-2</v>
      </c>
    </row>
    <row r="30" spans="1:20" s="8" customFormat="1" ht="18.95" customHeight="1">
      <c r="A30" s="755">
        <v>13</v>
      </c>
      <c r="B30" s="750" t="str">
        <f>+'107 (a)'!B30</f>
        <v>Social Work</v>
      </c>
      <c r="C30" s="756">
        <f>+'107 (a)'!E30*'107'!E100</f>
        <v>6.4416000000000002</v>
      </c>
      <c r="D30" s="756"/>
      <c r="E30" s="757">
        <f t="shared" si="13"/>
        <v>6.4416000000000002</v>
      </c>
      <c r="F30" s="756">
        <f>+T55*'107 (a)'!H30</f>
        <v>1.6186499999999999</v>
      </c>
      <c r="G30" s="756">
        <f t="shared" si="0"/>
        <v>1.6186499999999999</v>
      </c>
      <c r="H30" s="757">
        <f t="shared" si="14"/>
        <v>3.2372999999999998</v>
      </c>
      <c r="I30" s="756">
        <f>+P30*'107 (a)'!K30</f>
        <v>0.84000000000000008</v>
      </c>
      <c r="J30" s="756"/>
      <c r="K30" s="757">
        <f t="shared" si="15"/>
        <v>0.84000000000000008</v>
      </c>
      <c r="L30" s="756">
        <f>SUM(Q30*'107 (a)'!N30)</f>
        <v>0.36799999999999999</v>
      </c>
      <c r="M30" s="756"/>
      <c r="N30" s="757">
        <f t="shared" si="16"/>
        <v>0.36799999999999999</v>
      </c>
      <c r="O30" s="757">
        <f t="shared" si="7"/>
        <v>10.886900000000001</v>
      </c>
      <c r="P30" s="767">
        <v>8.4000000000000005E-2</v>
      </c>
      <c r="Q30" s="767">
        <v>9.1999999999999998E-2</v>
      </c>
      <c r="S30" s="766" t="s">
        <v>1210</v>
      </c>
      <c r="T30" s="576">
        <f>48400/1000000</f>
        <v>4.8399999999999999E-2</v>
      </c>
    </row>
    <row r="31" spans="1:20" s="8" customFormat="1" ht="18.95" customHeight="1">
      <c r="A31" s="755">
        <v>14</v>
      </c>
      <c r="B31" s="750" t="str">
        <f>+'107 (a)'!B31</f>
        <v>Sociology</v>
      </c>
      <c r="C31" s="756">
        <f>+'107 (a)'!E31*'107'!E101</f>
        <v>9.5150000000000006</v>
      </c>
      <c r="D31" s="756"/>
      <c r="E31" s="757">
        <f t="shared" ref="E31:E32" si="17">C31+D31</f>
        <v>9.5150000000000006</v>
      </c>
      <c r="F31" s="756">
        <f>+T56*'107 (a)'!H31</f>
        <v>1.3243499999999999</v>
      </c>
      <c r="G31" s="756">
        <f t="shared" si="0"/>
        <v>1.3243499999999999</v>
      </c>
      <c r="H31" s="757">
        <f t="shared" ref="H31:H32" si="18">F31+G31</f>
        <v>2.6486999999999998</v>
      </c>
      <c r="I31" s="756">
        <f>+P31*'107 (a)'!K31</f>
        <v>4.2840000000000007</v>
      </c>
      <c r="J31" s="756"/>
      <c r="K31" s="757">
        <f t="shared" ref="K31:K32" si="19">I31+J31</f>
        <v>4.2840000000000007</v>
      </c>
      <c r="L31" s="756">
        <f>SUM(Q31*'107 (a)'!N31)</f>
        <v>3.6799999999999997</v>
      </c>
      <c r="M31" s="756"/>
      <c r="N31" s="757">
        <f t="shared" ref="N31:N32" si="20">L31+M31</f>
        <v>3.6799999999999997</v>
      </c>
      <c r="O31" s="757">
        <f t="shared" si="7"/>
        <v>20.127700000000001</v>
      </c>
      <c r="P31" s="767">
        <v>8.4000000000000005E-2</v>
      </c>
      <c r="Q31" s="767">
        <v>9.1999999999999998E-2</v>
      </c>
      <c r="S31" s="765"/>
    </row>
    <row r="32" spans="1:20" s="8" customFormat="1" ht="18.95" customHeight="1">
      <c r="A32" s="755">
        <v>15</v>
      </c>
      <c r="B32" s="750" t="str">
        <f>+'107 (a)'!B32</f>
        <v>Distance Education</v>
      </c>
      <c r="C32" s="756"/>
      <c r="D32" s="756"/>
      <c r="E32" s="757">
        <f t="shared" si="17"/>
        <v>0</v>
      </c>
      <c r="F32" s="756">
        <f>+'107 (a)'!H32*'107(b)'!T54</f>
        <v>9.8161249999999995</v>
      </c>
      <c r="G32" s="756"/>
      <c r="H32" s="757">
        <f t="shared" si="18"/>
        <v>9.8161249999999995</v>
      </c>
      <c r="I32" s="756"/>
      <c r="J32" s="756"/>
      <c r="K32" s="757">
        <f t="shared" si="19"/>
        <v>0</v>
      </c>
      <c r="L32" s="756">
        <f>SUM(Q32*'107 (a)'!N32)</f>
        <v>0</v>
      </c>
      <c r="M32" s="756"/>
      <c r="N32" s="757">
        <f t="shared" si="20"/>
        <v>0</v>
      </c>
      <c r="O32" s="757">
        <f t="shared" si="7"/>
        <v>9.8161249999999995</v>
      </c>
      <c r="P32" s="767">
        <v>8.4000000000000005E-2</v>
      </c>
      <c r="Q32" s="767">
        <v>9.1999999999999998E-2</v>
      </c>
      <c r="S32" s="761" t="s">
        <v>1212</v>
      </c>
      <c r="T32" s="576">
        <f>43560/2/1000000</f>
        <v>2.1780000000000001E-2</v>
      </c>
    </row>
    <row r="33" spans="1:20" ht="20.100000000000001" customHeight="1">
      <c r="A33" s="1541" t="s">
        <v>893</v>
      </c>
      <c r="B33" s="1541"/>
      <c r="C33" s="758">
        <f>SUM(C18:C32)</f>
        <v>85.733599999999996</v>
      </c>
      <c r="D33" s="758">
        <f t="shared" ref="D33:N33" si="21">SUM(D18:D32)</f>
        <v>0</v>
      </c>
      <c r="E33" s="758">
        <f t="shared" si="21"/>
        <v>85.733599999999996</v>
      </c>
      <c r="F33" s="758">
        <f t="shared" si="21"/>
        <v>31.242800000000003</v>
      </c>
      <c r="G33" s="758">
        <f t="shared" si="21"/>
        <v>21.426675000000003</v>
      </c>
      <c r="H33" s="758">
        <f t="shared" si="21"/>
        <v>52.669475000000006</v>
      </c>
      <c r="I33" s="758">
        <f t="shared" si="21"/>
        <v>28.728000000000009</v>
      </c>
      <c r="J33" s="758">
        <f t="shared" si="21"/>
        <v>0</v>
      </c>
      <c r="K33" s="758">
        <f t="shared" si="21"/>
        <v>28.728000000000009</v>
      </c>
      <c r="L33" s="758">
        <f t="shared" si="21"/>
        <v>19.78</v>
      </c>
      <c r="M33" s="758">
        <f t="shared" si="21"/>
        <v>0</v>
      </c>
      <c r="N33" s="758">
        <f t="shared" si="21"/>
        <v>19.78</v>
      </c>
      <c r="O33" s="757">
        <f t="shared" si="7"/>
        <v>186.91107500000001</v>
      </c>
      <c r="P33" s="767">
        <v>8.4000000000000005E-2</v>
      </c>
      <c r="Q33" s="767">
        <v>9.1999999999999998E-2</v>
      </c>
      <c r="S33" s="761" t="s">
        <v>1213</v>
      </c>
      <c r="T33" s="576">
        <f>32700/2/1000000</f>
        <v>1.635E-2</v>
      </c>
    </row>
    <row r="34" spans="1:20" ht="15" customHeight="1">
      <c r="A34" s="1540" t="s">
        <v>1145</v>
      </c>
      <c r="B34" s="1540"/>
      <c r="C34" s="1540"/>
      <c r="D34" s="1540"/>
      <c r="E34" s="1540"/>
      <c r="F34" s="1540"/>
      <c r="G34" s="1540"/>
      <c r="H34" s="1540"/>
      <c r="I34" s="1540"/>
      <c r="J34" s="1540"/>
      <c r="K34" s="1540"/>
      <c r="L34" s="1540"/>
      <c r="M34" s="1540"/>
      <c r="N34" s="1540"/>
      <c r="O34" s="1540"/>
      <c r="P34" s="767">
        <v>8.4000000000000005E-2</v>
      </c>
      <c r="Q34" s="767">
        <v>9.1999999999999998E-2</v>
      </c>
      <c r="S34" s="761" t="s">
        <v>1214</v>
      </c>
      <c r="T34" s="576">
        <f t="shared" ref="T34:T38" si="22">32700/2/1000000</f>
        <v>1.635E-2</v>
      </c>
    </row>
    <row r="35" spans="1:20" s="8" customFormat="1" ht="18.95" customHeight="1">
      <c r="A35" s="755">
        <v>1</v>
      </c>
      <c r="B35" s="750" t="str">
        <f>+'107 (a)'!B35</f>
        <v>Arabic</v>
      </c>
      <c r="C35" s="756"/>
      <c r="D35" s="756"/>
      <c r="E35" s="757">
        <f>C35+D35</f>
        <v>0</v>
      </c>
      <c r="F35" s="756">
        <f>+'107 (a)'!H35*'107(b)'!T18</f>
        <v>0.34787499999999999</v>
      </c>
      <c r="G35" s="756">
        <f t="shared" ref="G35:G41" si="23">+F35</f>
        <v>0.34787499999999999</v>
      </c>
      <c r="H35" s="757">
        <f>F35+G35</f>
        <v>0.69574999999999998</v>
      </c>
      <c r="I35" s="756">
        <f>+P35*'107 (a)'!K35</f>
        <v>3.9480000000000004</v>
      </c>
      <c r="J35" s="756"/>
      <c r="K35" s="757">
        <f>I35+J35</f>
        <v>3.9480000000000004</v>
      </c>
      <c r="L35" s="756">
        <f>+'107 (a)'!N35*'107(b)'!Q35</f>
        <v>2.2080000000000002</v>
      </c>
      <c r="M35" s="756"/>
      <c r="N35" s="757">
        <f>L35+M35</f>
        <v>2.2080000000000002</v>
      </c>
      <c r="O35" s="757">
        <f t="shared" ref="O35:O42" si="24">+E35+H35+K35+N35</f>
        <v>6.8517500000000009</v>
      </c>
      <c r="P35" s="767">
        <v>8.4000000000000005E-2</v>
      </c>
      <c r="Q35" s="767">
        <v>9.1999999999999998E-2</v>
      </c>
      <c r="S35" s="761" t="s">
        <v>1215</v>
      </c>
      <c r="T35" s="576">
        <f t="shared" si="22"/>
        <v>1.635E-2</v>
      </c>
    </row>
    <row r="36" spans="1:20" s="8" customFormat="1" ht="18.95" customHeight="1">
      <c r="A36" s="755">
        <v>2</v>
      </c>
      <c r="B36" s="750" t="str">
        <f>+'107 (a)'!B36</f>
        <v>Islamiyat</v>
      </c>
      <c r="C36" s="756">
        <f>+'107 (a)'!E36*'107'!E66</f>
        <v>1.5399999999999998</v>
      </c>
      <c r="D36" s="756"/>
      <c r="E36" s="757">
        <f>C36+D36</f>
        <v>1.5399999999999998</v>
      </c>
      <c r="F36" s="756">
        <f>+'107 (a)'!H36*'107(b)'!T19</f>
        <v>0.87724999999999997</v>
      </c>
      <c r="G36" s="756">
        <f t="shared" si="23"/>
        <v>0.87724999999999997</v>
      </c>
      <c r="H36" s="757">
        <f>F36+G36</f>
        <v>1.7544999999999999</v>
      </c>
      <c r="I36" s="756">
        <f>+P36*'107 (a)'!K36</f>
        <v>0.42000000000000004</v>
      </c>
      <c r="J36" s="756"/>
      <c r="K36" s="757">
        <f>I36+J36</f>
        <v>0.42000000000000004</v>
      </c>
      <c r="L36" s="756">
        <f>+'107 (a)'!N36*'107(b)'!Q36</f>
        <v>0.184</v>
      </c>
      <c r="M36" s="756"/>
      <c r="N36" s="757">
        <f>L36+M36</f>
        <v>0.184</v>
      </c>
      <c r="O36" s="757">
        <f t="shared" si="24"/>
        <v>3.8984999999999999</v>
      </c>
      <c r="P36" s="767">
        <v>8.4000000000000005E-2</v>
      </c>
      <c r="Q36" s="767">
        <v>9.1999999999999998E-2</v>
      </c>
      <c r="S36" s="761" t="s">
        <v>1216</v>
      </c>
      <c r="T36" s="576">
        <f t="shared" si="22"/>
        <v>1.635E-2</v>
      </c>
    </row>
    <row r="37" spans="1:20" s="8" customFormat="1" ht="18.95" customHeight="1">
      <c r="A37" s="755">
        <v>3</v>
      </c>
      <c r="B37" s="750" t="str">
        <f>+'107 (a)'!B37</f>
        <v xml:space="preserve">Pashto </v>
      </c>
      <c r="C37" s="756"/>
      <c r="D37" s="756"/>
      <c r="E37" s="757">
        <f t="shared" ref="E37:E39" si="25">C37+D37</f>
        <v>0</v>
      </c>
      <c r="F37" s="756">
        <f>+T20*'107 (a)'!H37</f>
        <v>0.49912499999999999</v>
      </c>
      <c r="G37" s="756">
        <f t="shared" si="23"/>
        <v>0.49912499999999999</v>
      </c>
      <c r="H37" s="757">
        <f t="shared" ref="H37:H39" si="26">F37+G37</f>
        <v>0.99824999999999997</v>
      </c>
      <c r="I37" s="756">
        <f>+P37*'107 (a)'!K37</f>
        <v>2.1840000000000002</v>
      </c>
      <c r="J37" s="756"/>
      <c r="K37" s="757">
        <f t="shared" ref="K37:K39" si="27">I37+J37</f>
        <v>2.1840000000000002</v>
      </c>
      <c r="L37" s="756">
        <f>+'107 (a)'!N37*'107(b)'!Q37</f>
        <v>0</v>
      </c>
      <c r="M37" s="756"/>
      <c r="N37" s="757">
        <f t="shared" ref="N37:N39" si="28">L37+M37</f>
        <v>0</v>
      </c>
      <c r="O37" s="757">
        <f t="shared" si="24"/>
        <v>3.1822500000000002</v>
      </c>
      <c r="P37" s="767">
        <v>8.4000000000000005E-2</v>
      </c>
      <c r="Q37" s="767">
        <v>9.1999999999999998E-2</v>
      </c>
      <c r="S37" s="761" t="s">
        <v>1217</v>
      </c>
      <c r="T37" s="576">
        <f t="shared" si="22"/>
        <v>1.635E-2</v>
      </c>
    </row>
    <row r="38" spans="1:20" s="8" customFormat="1" ht="18.95" customHeight="1">
      <c r="A38" s="755">
        <v>4</v>
      </c>
      <c r="B38" s="750" t="str">
        <f>+'107 (a)'!B38</f>
        <v>Pashto Academy</v>
      </c>
      <c r="C38" s="756"/>
      <c r="D38" s="756"/>
      <c r="E38" s="757">
        <f t="shared" si="25"/>
        <v>0</v>
      </c>
      <c r="F38" s="756"/>
      <c r="G38" s="756">
        <f t="shared" si="23"/>
        <v>0</v>
      </c>
      <c r="H38" s="757">
        <f t="shared" si="26"/>
        <v>0</v>
      </c>
      <c r="I38" s="756">
        <f>+P38*'107 (a)'!K38</f>
        <v>5.1240000000000006</v>
      </c>
      <c r="J38" s="756"/>
      <c r="K38" s="757">
        <f t="shared" si="27"/>
        <v>5.1240000000000006</v>
      </c>
      <c r="L38" s="756">
        <f>+'107 (a)'!N38*'107(b)'!Q38</f>
        <v>6.0720000000000001</v>
      </c>
      <c r="M38" s="756"/>
      <c r="N38" s="757">
        <f t="shared" si="28"/>
        <v>6.0720000000000001</v>
      </c>
      <c r="O38" s="757">
        <f t="shared" si="24"/>
        <v>11.196000000000002</v>
      </c>
      <c r="P38" s="767">
        <v>8.4000000000000005E-2</v>
      </c>
      <c r="Q38" s="767">
        <v>9.1999999999999998E-2</v>
      </c>
      <c r="S38" s="761" t="s">
        <v>1218</v>
      </c>
      <c r="T38" s="576">
        <f t="shared" si="22"/>
        <v>1.635E-2</v>
      </c>
    </row>
    <row r="39" spans="1:20" s="8" customFormat="1" ht="18.95" customHeight="1">
      <c r="A39" s="755">
        <v>5</v>
      </c>
      <c r="B39" s="750" t="str">
        <f>+'107 (a)'!B39</f>
        <v>Persian</v>
      </c>
      <c r="C39" s="756"/>
      <c r="D39" s="756"/>
      <c r="E39" s="757">
        <f t="shared" si="25"/>
        <v>0</v>
      </c>
      <c r="F39" s="756">
        <f>+T21*'107 (a)'!H39</f>
        <v>5.5599999999999997E-2</v>
      </c>
      <c r="G39" s="756">
        <f t="shared" si="23"/>
        <v>5.5599999999999997E-2</v>
      </c>
      <c r="H39" s="757">
        <f t="shared" si="26"/>
        <v>0.11119999999999999</v>
      </c>
      <c r="I39" s="756">
        <f>+P39*'107 (a)'!K39</f>
        <v>0</v>
      </c>
      <c r="J39" s="756"/>
      <c r="K39" s="757">
        <f t="shared" si="27"/>
        <v>0</v>
      </c>
      <c r="L39" s="756">
        <f>+'107 (a)'!N39*'107(b)'!Q39</f>
        <v>9.1999999999999998E-2</v>
      </c>
      <c r="M39" s="756"/>
      <c r="N39" s="757">
        <f t="shared" si="28"/>
        <v>9.1999999999999998E-2</v>
      </c>
      <c r="O39" s="757">
        <f t="shared" si="24"/>
        <v>0.20319999999999999</v>
      </c>
      <c r="P39" s="767">
        <v>8.4000000000000005E-2</v>
      </c>
      <c r="Q39" s="767">
        <v>9.1999999999999998E-2</v>
      </c>
      <c r="S39" s="765"/>
    </row>
    <row r="40" spans="1:20" s="8" customFormat="1" ht="18.95" customHeight="1">
      <c r="A40" s="755">
        <v>6</v>
      </c>
      <c r="B40" s="750" t="str">
        <f>+'107 (a)'!B40</f>
        <v>Seerat Studies</v>
      </c>
      <c r="C40" s="756"/>
      <c r="D40" s="756"/>
      <c r="E40" s="757">
        <f t="shared" ref="E40:E41" si="29">C40+D40</f>
        <v>0</v>
      </c>
      <c r="F40" s="756"/>
      <c r="G40" s="756">
        <f t="shared" si="23"/>
        <v>0</v>
      </c>
      <c r="H40" s="757">
        <f t="shared" ref="H40:H41" si="30">F40+G40</f>
        <v>0</v>
      </c>
      <c r="I40" s="756">
        <f>+P40*'107 (a)'!K40</f>
        <v>0</v>
      </c>
      <c r="J40" s="756"/>
      <c r="K40" s="757">
        <f t="shared" ref="K40:K41" si="31">I40+J40</f>
        <v>0</v>
      </c>
      <c r="L40" s="756">
        <f>+'107 (a)'!N40*'107(b)'!Q40</f>
        <v>1.748</v>
      </c>
      <c r="M40" s="756"/>
      <c r="N40" s="757">
        <f t="shared" ref="N40:N41" si="32">L40+M40</f>
        <v>1.748</v>
      </c>
      <c r="O40" s="757">
        <f t="shared" si="24"/>
        <v>1.748</v>
      </c>
      <c r="P40" s="767">
        <v>8.4000000000000005E-2</v>
      </c>
      <c r="Q40" s="767">
        <v>9.1999999999999998E-2</v>
      </c>
      <c r="S40" s="761" t="s">
        <v>1220</v>
      </c>
      <c r="T40" s="576">
        <f>48400/2/1000000</f>
        <v>2.4199999999999999E-2</v>
      </c>
    </row>
    <row r="41" spans="1:20" s="8" customFormat="1" ht="18.95" customHeight="1">
      <c r="A41" s="755">
        <v>7</v>
      </c>
      <c r="B41" s="750" t="str">
        <f>+'107 (a)'!B41</f>
        <v>Urdu</v>
      </c>
      <c r="C41" s="756"/>
      <c r="D41" s="756"/>
      <c r="E41" s="757">
        <f t="shared" si="29"/>
        <v>0</v>
      </c>
      <c r="F41" s="756">
        <f>+T22*'107 (a)'!H41</f>
        <v>1.2402500000000001</v>
      </c>
      <c r="G41" s="756">
        <f t="shared" si="23"/>
        <v>1.2402500000000001</v>
      </c>
      <c r="H41" s="757">
        <f t="shared" si="30"/>
        <v>2.4805000000000001</v>
      </c>
      <c r="I41" s="756">
        <f>+P41*'107 (a)'!K41</f>
        <v>2.2680000000000002</v>
      </c>
      <c r="J41" s="756"/>
      <c r="K41" s="757">
        <f t="shared" si="31"/>
        <v>2.2680000000000002</v>
      </c>
      <c r="L41" s="756">
        <f>+'107 (a)'!N41*'107(b)'!Q41</f>
        <v>4.2320000000000002</v>
      </c>
      <c r="M41" s="756"/>
      <c r="N41" s="757">
        <f t="shared" si="32"/>
        <v>4.2320000000000002</v>
      </c>
      <c r="O41" s="757">
        <f t="shared" si="24"/>
        <v>8.9804999999999993</v>
      </c>
      <c r="P41" s="767">
        <v>8.4000000000000005E-2</v>
      </c>
      <c r="Q41" s="767">
        <v>9.1999999999999998E-2</v>
      </c>
      <c r="S41" s="761" t="s">
        <v>1221</v>
      </c>
      <c r="T41" s="576">
        <f>48400/2/1000000</f>
        <v>2.4199999999999999E-2</v>
      </c>
    </row>
    <row r="42" spans="1:20" ht="20.100000000000001" customHeight="1">
      <c r="A42" s="1541" t="s">
        <v>893</v>
      </c>
      <c r="B42" s="1541"/>
      <c r="C42" s="758">
        <f>SUM(C35:C41)</f>
        <v>1.5399999999999998</v>
      </c>
      <c r="D42" s="758">
        <f t="shared" ref="D42:N42" si="33">SUM(D35:D41)</f>
        <v>0</v>
      </c>
      <c r="E42" s="758">
        <f t="shared" si="33"/>
        <v>1.5399999999999998</v>
      </c>
      <c r="F42" s="758">
        <f t="shared" si="33"/>
        <v>3.0201000000000002</v>
      </c>
      <c r="G42" s="758">
        <f t="shared" si="33"/>
        <v>3.0201000000000002</v>
      </c>
      <c r="H42" s="758">
        <f t="shared" si="33"/>
        <v>6.0402000000000005</v>
      </c>
      <c r="I42" s="758">
        <f t="shared" si="33"/>
        <v>13.944000000000003</v>
      </c>
      <c r="J42" s="758">
        <f t="shared" si="33"/>
        <v>0</v>
      </c>
      <c r="K42" s="758">
        <f t="shared" si="33"/>
        <v>13.944000000000003</v>
      </c>
      <c r="L42" s="758">
        <f t="shared" si="33"/>
        <v>14.536000000000001</v>
      </c>
      <c r="M42" s="758">
        <f t="shared" si="33"/>
        <v>0</v>
      </c>
      <c r="N42" s="758">
        <f t="shared" si="33"/>
        <v>14.536000000000001</v>
      </c>
      <c r="O42" s="757">
        <f t="shared" si="24"/>
        <v>36.060200000000009</v>
      </c>
      <c r="P42" s="767">
        <v>8.4000000000000005E-2</v>
      </c>
      <c r="Q42" s="767">
        <v>9.1999999999999998E-2</v>
      </c>
      <c r="S42" s="761" t="s">
        <v>1222</v>
      </c>
      <c r="T42" s="576">
        <f>42350/1000000</f>
        <v>4.2349999999999999E-2</v>
      </c>
    </row>
    <row r="43" spans="1:20" ht="15" customHeight="1">
      <c r="A43" s="1540" t="s">
        <v>1150</v>
      </c>
      <c r="B43" s="1540"/>
      <c r="C43" s="1540"/>
      <c r="D43" s="1540"/>
      <c r="E43" s="1540"/>
      <c r="F43" s="1540"/>
      <c r="G43" s="1540"/>
      <c r="H43" s="1540"/>
      <c r="I43" s="1540"/>
      <c r="J43" s="1540"/>
      <c r="K43" s="1540"/>
      <c r="L43" s="1540"/>
      <c r="M43" s="1540"/>
      <c r="N43" s="1540"/>
      <c r="O43" s="1540"/>
      <c r="P43" s="767">
        <v>8.4000000000000005E-2</v>
      </c>
      <c r="Q43" s="767">
        <v>9.1999999999999998E-2</v>
      </c>
      <c r="S43" s="761" t="s">
        <v>1223</v>
      </c>
      <c r="T43" s="576">
        <f>44800/1000000</f>
        <v>4.48E-2</v>
      </c>
    </row>
    <row r="44" spans="1:20" s="8" customFormat="1" ht="18.95" customHeight="1">
      <c r="A44" s="755">
        <v>1</v>
      </c>
      <c r="B44" s="750" t="str">
        <f>+'107 (a)'!B44</f>
        <v>Computer Science</v>
      </c>
      <c r="C44" s="756">
        <f>+'107 (a)'!E44*'107'!E85</f>
        <v>11.840400000000001</v>
      </c>
      <c r="D44" s="756"/>
      <c r="E44" s="757">
        <f>C44+D44</f>
        <v>11.840400000000001</v>
      </c>
      <c r="F44" s="756">
        <f>+T40*'107 (a)'!H44</f>
        <v>1.21</v>
      </c>
      <c r="G44" s="756">
        <f t="shared" ref="G44:G49" si="34">+F44</f>
        <v>1.21</v>
      </c>
      <c r="H44" s="757">
        <f>F44+G44</f>
        <v>2.42</v>
      </c>
      <c r="I44" s="756">
        <f>+P44*'107 (a)'!K44</f>
        <v>4.9560000000000004</v>
      </c>
      <c r="J44" s="756"/>
      <c r="K44" s="757">
        <f>I44+J44</f>
        <v>4.9560000000000004</v>
      </c>
      <c r="L44" s="756">
        <f>+'107 (a)'!N44*'107(b)'!Q44</f>
        <v>2.5760000000000001</v>
      </c>
      <c r="M44" s="756"/>
      <c r="N44" s="757">
        <f>L44+M44</f>
        <v>2.5760000000000001</v>
      </c>
      <c r="O44" s="757">
        <f t="shared" ref="O44:O49" si="35">+E44+H44+K44+N44</f>
        <v>21.792400000000001</v>
      </c>
      <c r="P44" s="767">
        <v>8.4000000000000005E-2</v>
      </c>
      <c r="Q44" s="767">
        <v>9.1999999999999998E-2</v>
      </c>
      <c r="S44" s="761" t="s">
        <v>1224</v>
      </c>
      <c r="T44" s="576">
        <f>42350/1000000</f>
        <v>4.2349999999999999E-2</v>
      </c>
    </row>
    <row r="45" spans="1:20" s="8" customFormat="1" ht="18.95" customHeight="1">
      <c r="A45" s="755">
        <v>2</v>
      </c>
      <c r="B45" s="750" t="str">
        <f>+'107 (a)'!B45</f>
        <v xml:space="preserve">Mathematics </v>
      </c>
      <c r="C45" s="756">
        <f>+'107 (a)'!E45*'107'!E87</f>
        <v>8.0299999999999994</v>
      </c>
      <c r="D45" s="756"/>
      <c r="E45" s="757">
        <f>C45+D45</f>
        <v>8.0299999999999994</v>
      </c>
      <c r="F45" s="756">
        <f>+T42*'107 (a)'!H45</f>
        <v>3.9809000000000001</v>
      </c>
      <c r="G45" s="756">
        <f t="shared" si="34"/>
        <v>3.9809000000000001</v>
      </c>
      <c r="H45" s="757">
        <f>F45+G45</f>
        <v>7.9618000000000002</v>
      </c>
      <c r="I45" s="756">
        <f>+P45*'107 (a)'!K45</f>
        <v>5.46</v>
      </c>
      <c r="J45" s="756"/>
      <c r="K45" s="757">
        <f>I45+J45</f>
        <v>5.46</v>
      </c>
      <c r="L45" s="756">
        <f>+'107 (a)'!N45*'107(b)'!Q45</f>
        <v>3.4039999999999999</v>
      </c>
      <c r="M45" s="756"/>
      <c r="N45" s="757">
        <f>L45+M45</f>
        <v>3.4039999999999999</v>
      </c>
      <c r="O45" s="757">
        <f t="shared" si="35"/>
        <v>24.855799999999999</v>
      </c>
      <c r="P45" s="767">
        <v>8.4000000000000005E-2</v>
      </c>
      <c r="Q45" s="767">
        <v>9.1999999999999998E-2</v>
      </c>
      <c r="S45" s="765"/>
    </row>
    <row r="46" spans="1:20" s="8" customFormat="1" ht="18.95" customHeight="1">
      <c r="A46" s="755">
        <v>3</v>
      </c>
      <c r="B46" s="750" t="str">
        <f>+'107 (a)'!B46</f>
        <v>Physics</v>
      </c>
      <c r="C46" s="756">
        <f>+'107 (a)'!E46*'107'!E88</f>
        <v>8.8000000000000007</v>
      </c>
      <c r="D46" s="756"/>
      <c r="E46" s="757">
        <f t="shared" ref="E46:E49" si="36">C46+D46</f>
        <v>8.8000000000000007</v>
      </c>
      <c r="F46" s="756">
        <f>+T43*'107 (a)'!H46</f>
        <v>5.3760000000000003</v>
      </c>
      <c r="G46" s="756">
        <f t="shared" si="34"/>
        <v>5.3760000000000003</v>
      </c>
      <c r="H46" s="757">
        <f t="shared" ref="H46:H49" si="37">F46+G46</f>
        <v>10.752000000000001</v>
      </c>
      <c r="I46" s="756">
        <f>+P46*'107 (a)'!K46</f>
        <v>11.508000000000001</v>
      </c>
      <c r="J46" s="756"/>
      <c r="K46" s="757">
        <f t="shared" ref="K46:K49" si="38">I46+J46</f>
        <v>11.508000000000001</v>
      </c>
      <c r="L46" s="756">
        <f>+'107 (a)'!N46*'107(b)'!Q46</f>
        <v>3.6799999999999997</v>
      </c>
      <c r="M46" s="756"/>
      <c r="N46" s="757">
        <f t="shared" ref="N46:N49" si="39">L46+M46</f>
        <v>3.6799999999999997</v>
      </c>
      <c r="O46" s="757">
        <f t="shared" si="35"/>
        <v>34.74</v>
      </c>
      <c r="P46" s="767">
        <v>8.4000000000000005E-2</v>
      </c>
      <c r="Q46" s="767">
        <v>9.1999999999999998E-2</v>
      </c>
      <c r="S46" s="761" t="s">
        <v>1226</v>
      </c>
      <c r="T46" s="576">
        <f t="shared" ref="T46:T47" si="40">48400/2/1000000</f>
        <v>2.4199999999999999E-2</v>
      </c>
    </row>
    <row r="47" spans="1:20" s="8" customFormat="1" ht="18.95" customHeight="1">
      <c r="A47" s="755">
        <v>4</v>
      </c>
      <c r="B47" s="750" t="str">
        <f>+'107 (a)'!B47</f>
        <v>Statistics</v>
      </c>
      <c r="C47" s="756">
        <f>+'107 (a)'!E47*'107'!E89</f>
        <v>4.7850000000000001</v>
      </c>
      <c r="D47" s="756"/>
      <c r="E47" s="757">
        <f t="shared" si="36"/>
        <v>4.7850000000000001</v>
      </c>
      <c r="F47" s="756">
        <f>+T44+'107 (a)'!H47</f>
        <v>58.042349999999999</v>
      </c>
      <c r="G47" s="756">
        <f t="shared" si="34"/>
        <v>58.042349999999999</v>
      </c>
      <c r="H47" s="757">
        <f t="shared" si="37"/>
        <v>116.0847</v>
      </c>
      <c r="I47" s="756">
        <f>+P47*'107 (a)'!K47</f>
        <v>2.9400000000000004</v>
      </c>
      <c r="J47" s="756"/>
      <c r="K47" s="757">
        <f t="shared" si="38"/>
        <v>2.9400000000000004</v>
      </c>
      <c r="L47" s="756">
        <f>+'107 (a)'!N47*'107(b)'!Q47</f>
        <v>1.38</v>
      </c>
      <c r="M47" s="756"/>
      <c r="N47" s="757">
        <f t="shared" si="39"/>
        <v>1.38</v>
      </c>
      <c r="O47" s="757">
        <f t="shared" si="35"/>
        <v>125.18969999999999</v>
      </c>
      <c r="P47" s="767">
        <v>8.4000000000000005E-2</v>
      </c>
      <c r="Q47" s="767">
        <v>9.1999999999999998E-2</v>
      </c>
      <c r="S47" s="761" t="s">
        <v>1227</v>
      </c>
      <c r="T47" s="576">
        <f t="shared" si="40"/>
        <v>2.4199999999999999E-2</v>
      </c>
    </row>
    <row r="48" spans="1:20" s="8" customFormat="1" ht="18.95" customHeight="1">
      <c r="A48" s="755">
        <v>5</v>
      </c>
      <c r="B48" s="750" t="str">
        <f>+'107 (a)'!B48</f>
        <v>Electronics</v>
      </c>
      <c r="C48" s="756">
        <f>+'107 (a)'!E48*'107'!E86</f>
        <v>9.7240000000000002</v>
      </c>
      <c r="D48" s="756"/>
      <c r="E48" s="757">
        <f t="shared" si="36"/>
        <v>9.7240000000000002</v>
      </c>
      <c r="F48" s="756">
        <f>+T41*'107 (a)'!H48</f>
        <v>1.3068</v>
      </c>
      <c r="G48" s="756">
        <f t="shared" si="34"/>
        <v>1.3068</v>
      </c>
      <c r="H48" s="757">
        <f t="shared" si="37"/>
        <v>2.6135999999999999</v>
      </c>
      <c r="I48" s="756">
        <f>+P48*'107 (a)'!K48</f>
        <v>4.5360000000000005</v>
      </c>
      <c r="J48" s="756"/>
      <c r="K48" s="757">
        <f t="shared" si="38"/>
        <v>4.5360000000000005</v>
      </c>
      <c r="L48" s="756">
        <f>+'107 (a)'!N48*'107(b)'!Q48</f>
        <v>1.012</v>
      </c>
      <c r="M48" s="756"/>
      <c r="N48" s="757">
        <f t="shared" si="39"/>
        <v>1.012</v>
      </c>
      <c r="O48" s="757">
        <f t="shared" si="35"/>
        <v>17.8856</v>
      </c>
      <c r="P48" s="767">
        <v>8.4000000000000005E-2</v>
      </c>
      <c r="Q48" s="767">
        <v>9.1999999999999998E-2</v>
      </c>
      <c r="S48" s="761" t="s">
        <v>1228</v>
      </c>
      <c r="T48" s="576">
        <f>36300/2/1000000</f>
        <v>1.8149999999999999E-2</v>
      </c>
    </row>
    <row r="49" spans="1:20" s="8" customFormat="1" ht="18.95" customHeight="1">
      <c r="A49" s="755">
        <v>6</v>
      </c>
      <c r="B49" s="750">
        <f>+'107 (a)'!B49</f>
        <v>0</v>
      </c>
      <c r="C49" s="756"/>
      <c r="D49" s="756"/>
      <c r="E49" s="757">
        <f t="shared" si="36"/>
        <v>0</v>
      </c>
      <c r="F49" s="756"/>
      <c r="G49" s="756">
        <f t="shared" si="34"/>
        <v>0</v>
      </c>
      <c r="H49" s="757">
        <f t="shared" si="37"/>
        <v>0</v>
      </c>
      <c r="I49" s="756"/>
      <c r="J49" s="756"/>
      <c r="K49" s="757">
        <f t="shared" si="38"/>
        <v>0</v>
      </c>
      <c r="L49" s="756">
        <f>+'107 (a)'!N49*'107(b)'!Q49</f>
        <v>0</v>
      </c>
      <c r="M49" s="756"/>
      <c r="N49" s="757">
        <f t="shared" si="39"/>
        <v>0</v>
      </c>
      <c r="O49" s="757">
        <f t="shared" si="35"/>
        <v>0</v>
      </c>
      <c r="P49" s="767">
        <v>8.4000000000000005E-2</v>
      </c>
      <c r="Q49" s="767">
        <v>9.1999999999999998E-2</v>
      </c>
      <c r="S49" s="761" t="s">
        <v>1229</v>
      </c>
      <c r="T49" s="576">
        <f>32700/1000000/2</f>
        <v>1.635E-2</v>
      </c>
    </row>
    <row r="50" spans="1:20" ht="20.100000000000001" customHeight="1">
      <c r="A50" s="1541" t="s">
        <v>893</v>
      </c>
      <c r="B50" s="1541"/>
      <c r="C50" s="758">
        <f>SUM(C44:C48)</f>
        <v>43.179400000000001</v>
      </c>
      <c r="D50" s="758">
        <f t="shared" ref="D50:O50" si="41">SUM(D44:D48)</f>
        <v>0</v>
      </c>
      <c r="E50" s="758">
        <f t="shared" si="41"/>
        <v>43.179400000000001</v>
      </c>
      <c r="F50" s="758">
        <f t="shared" si="41"/>
        <v>69.916049999999998</v>
      </c>
      <c r="G50" s="758">
        <f t="shared" si="41"/>
        <v>69.916049999999998</v>
      </c>
      <c r="H50" s="758">
        <f t="shared" si="41"/>
        <v>139.8321</v>
      </c>
      <c r="I50" s="758">
        <f t="shared" si="41"/>
        <v>29.400000000000002</v>
      </c>
      <c r="J50" s="758">
        <f t="shared" si="41"/>
        <v>0</v>
      </c>
      <c r="K50" s="758">
        <f t="shared" si="41"/>
        <v>29.400000000000002</v>
      </c>
      <c r="L50" s="758">
        <f t="shared" si="41"/>
        <v>12.052</v>
      </c>
      <c r="M50" s="758">
        <f t="shared" si="41"/>
        <v>0</v>
      </c>
      <c r="N50" s="758">
        <f t="shared" si="41"/>
        <v>12.052</v>
      </c>
      <c r="O50" s="758">
        <f t="shared" si="41"/>
        <v>224.46350000000001</v>
      </c>
      <c r="P50" s="767">
        <v>8.4000000000000005E-2</v>
      </c>
      <c r="Q50" s="767">
        <v>9.1999999999999998E-2</v>
      </c>
      <c r="S50" s="761" t="s">
        <v>1230</v>
      </c>
      <c r="T50" s="576">
        <f>42350/1000000/2</f>
        <v>2.1174999999999999E-2</v>
      </c>
    </row>
    <row r="51" spans="1:20" ht="20.100000000000001" customHeight="1">
      <c r="A51" s="1534" t="s">
        <v>1010</v>
      </c>
      <c r="B51" s="1535"/>
      <c r="C51" s="748"/>
      <c r="D51" s="748"/>
      <c r="E51" s="749"/>
      <c r="F51" s="748"/>
      <c r="G51" s="748"/>
      <c r="H51" s="749"/>
      <c r="I51" s="748"/>
      <c r="J51" s="748"/>
      <c r="K51" s="749"/>
      <c r="L51" s="748"/>
      <c r="M51" s="748"/>
      <c r="N51" s="749"/>
      <c r="O51" s="748"/>
      <c r="P51" s="767">
        <v>8.4000000000000005E-2</v>
      </c>
      <c r="Q51" s="767">
        <v>9.1999999999999998E-2</v>
      </c>
      <c r="S51" s="761" t="s">
        <v>1231</v>
      </c>
      <c r="T51" s="576">
        <f>36300/2/1000000</f>
        <v>1.8149999999999999E-2</v>
      </c>
    </row>
    <row r="52" spans="1:20" s="8" customFormat="1" ht="18.95" customHeight="1">
      <c r="A52" s="755">
        <v>1</v>
      </c>
      <c r="B52" s="750" t="str">
        <f>+'107 (a)'!B52</f>
        <v>Botany</v>
      </c>
      <c r="C52" s="756">
        <f>+'107 (a)'!E52*'107'!E68</f>
        <v>6.2149999999999999</v>
      </c>
      <c r="D52" s="756"/>
      <c r="E52" s="757">
        <f>C52+D52</f>
        <v>6.2149999999999999</v>
      </c>
      <c r="F52" s="756">
        <f>+T24*'107 (a)'!H52</f>
        <v>2.3473999999999999</v>
      </c>
      <c r="G52" s="756">
        <f t="shared" ref="G52:G63" si="42">+F52</f>
        <v>2.3473999999999999</v>
      </c>
      <c r="H52" s="757">
        <f>F52+G52</f>
        <v>4.6947999999999999</v>
      </c>
      <c r="I52" s="756">
        <f>+'107 (a)'!K52*'107(b)'!P52</f>
        <v>4.3680000000000003</v>
      </c>
      <c r="J52" s="756"/>
      <c r="K52" s="757">
        <f>I52+J52</f>
        <v>4.3680000000000003</v>
      </c>
      <c r="L52" s="756">
        <f>+'107 (a)'!N52*'107(b)'!Q52</f>
        <v>2.8519999999999999</v>
      </c>
      <c r="M52" s="756"/>
      <c r="N52" s="757">
        <f>L52+M52</f>
        <v>2.8519999999999999</v>
      </c>
      <c r="O52" s="757">
        <f t="shared" ref="O52:O59" si="43">+E52+H52+K52+N52</f>
        <v>18.129799999999999</v>
      </c>
      <c r="P52" s="767">
        <v>8.4000000000000005E-2</v>
      </c>
      <c r="Q52" s="767">
        <v>9.1999999999999998E-2</v>
      </c>
      <c r="S52" s="761" t="s">
        <v>1232</v>
      </c>
      <c r="T52" s="576">
        <f>30250/2/1000000</f>
        <v>1.5125E-2</v>
      </c>
    </row>
    <row r="53" spans="1:20" s="8" customFormat="1" ht="18.95" customHeight="1">
      <c r="A53" s="755">
        <v>2</v>
      </c>
      <c r="B53" s="750" t="str">
        <f>+'107 (a)'!B54</f>
        <v xml:space="preserve"> Microbiology</v>
      </c>
      <c r="C53" s="756">
        <f>240*'107'!E69</f>
        <v>13.2</v>
      </c>
      <c r="D53" s="756"/>
      <c r="E53" s="757">
        <f t="shared" ref="E53:E63" si="44">C53+D53</f>
        <v>13.2</v>
      </c>
      <c r="F53" s="756"/>
      <c r="G53" s="756">
        <f t="shared" si="42"/>
        <v>0</v>
      </c>
      <c r="H53" s="757">
        <f t="shared" ref="H53:H63" si="45">F53+G53</f>
        <v>0</v>
      </c>
      <c r="I53" s="756">
        <f>+'107 (a)'!K53*'107(b)'!P53</f>
        <v>8.1479999999999997</v>
      </c>
      <c r="J53" s="756"/>
      <c r="K53" s="757">
        <f t="shared" ref="K53:K63" si="46">I53+J53</f>
        <v>8.1479999999999997</v>
      </c>
      <c r="L53" s="756">
        <f>+'107 (a)'!N53*'107(b)'!Q53</f>
        <v>4.8760000000000003</v>
      </c>
      <c r="M53" s="756"/>
      <c r="N53" s="757">
        <f t="shared" ref="N53" si="47">L53+M53</f>
        <v>4.8760000000000003</v>
      </c>
      <c r="O53" s="757">
        <f t="shared" si="43"/>
        <v>26.224</v>
      </c>
      <c r="P53" s="767">
        <v>8.4000000000000005E-2</v>
      </c>
      <c r="Q53" s="767">
        <v>9.1999999999999998E-2</v>
      </c>
      <c r="S53" s="761" t="s">
        <v>1233</v>
      </c>
      <c r="T53" s="576">
        <f>36300/2/1000000</f>
        <v>1.8149999999999999E-2</v>
      </c>
    </row>
    <row r="54" spans="1:20" s="8" customFormat="1" ht="18.95" customHeight="1">
      <c r="A54" s="755">
        <v>3</v>
      </c>
      <c r="B54" s="750" t="str">
        <f>+'107 (a)'!B55</f>
        <v>Centre of Disaster Preparedness &amp; Management</v>
      </c>
      <c r="C54" s="756">
        <f>+'107 (a)'!E55*'107'!E71</f>
        <v>9.625</v>
      </c>
      <c r="D54" s="756"/>
      <c r="E54" s="757">
        <f t="shared" si="44"/>
        <v>9.625</v>
      </c>
      <c r="F54" s="756">
        <f>+T26*'107 (a)'!H55</f>
        <v>0.55659999999999998</v>
      </c>
      <c r="G54" s="756">
        <f t="shared" si="42"/>
        <v>0.55659999999999998</v>
      </c>
      <c r="H54" s="757">
        <f t="shared" si="45"/>
        <v>1.1132</v>
      </c>
      <c r="I54" s="756">
        <f>+'107 (a)'!K54*'107(b)'!P54</f>
        <v>0</v>
      </c>
      <c r="J54" s="756"/>
      <c r="K54" s="757">
        <f t="shared" si="46"/>
        <v>0</v>
      </c>
      <c r="L54" s="756">
        <f>+Q54*'107 (a)'!N55</f>
        <v>9.1999999999999998E-2</v>
      </c>
      <c r="M54" s="756"/>
      <c r="N54" s="757">
        <f t="shared" ref="N54" si="48">L54+M54</f>
        <v>9.1999999999999998E-2</v>
      </c>
      <c r="O54" s="757">
        <f t="shared" si="43"/>
        <v>10.8302</v>
      </c>
      <c r="P54" s="767">
        <v>8.4000000000000005E-2</v>
      </c>
      <c r="Q54" s="767">
        <v>9.1999999999999998E-2</v>
      </c>
      <c r="S54" s="761" t="s">
        <v>1234</v>
      </c>
      <c r="T54" s="576">
        <f>30250/1000000/2</f>
        <v>1.5125E-2</v>
      </c>
    </row>
    <row r="55" spans="1:20" s="8" customFormat="1" ht="18.95" customHeight="1">
      <c r="A55" s="755">
        <v>4</v>
      </c>
      <c r="B55" s="750" t="str">
        <f>+'107 (a)'!B56</f>
        <v>Centre of Plant Biodiversity</v>
      </c>
      <c r="C55" s="756">
        <f>+'107 (a)'!E56*'107'!E72</f>
        <v>0</v>
      </c>
      <c r="D55" s="756"/>
      <c r="E55" s="757">
        <f t="shared" ref="E55:E58" si="49">C55+D55</f>
        <v>0</v>
      </c>
      <c r="F55" s="756"/>
      <c r="G55" s="756">
        <f t="shared" si="42"/>
        <v>0</v>
      </c>
      <c r="H55" s="757">
        <f t="shared" si="45"/>
        <v>0</v>
      </c>
      <c r="I55" s="756">
        <f>+'107 (a)'!K55*'107(b)'!P55</f>
        <v>0.252</v>
      </c>
      <c r="J55" s="756"/>
      <c r="K55" s="757">
        <f t="shared" si="46"/>
        <v>0.252</v>
      </c>
      <c r="L55" s="756">
        <f>+Q55*'107 (a)'!N56</f>
        <v>1.012</v>
      </c>
      <c r="M55" s="756"/>
      <c r="N55" s="757">
        <f t="shared" ref="N55" si="50">L55+M55</f>
        <v>1.012</v>
      </c>
      <c r="O55" s="757">
        <f t="shared" si="43"/>
        <v>1.264</v>
      </c>
      <c r="P55" s="767">
        <v>8.4000000000000005E-2</v>
      </c>
      <c r="Q55" s="767">
        <v>9.1999999999999998E-2</v>
      </c>
      <c r="S55" s="761" t="s">
        <v>1235</v>
      </c>
      <c r="T55" s="576">
        <f>32700/2/1000000</f>
        <v>1.635E-2</v>
      </c>
    </row>
    <row r="56" spans="1:20" s="8" customFormat="1" ht="18.95" customHeight="1">
      <c r="A56" s="755">
        <v>5</v>
      </c>
      <c r="B56" s="750" t="str">
        <f>+'107 (a)'!B57</f>
        <v>Environmental science</v>
      </c>
      <c r="C56" s="756">
        <f>+'107 (a)'!E57*'107'!E73</f>
        <v>6.9959999999999996</v>
      </c>
      <c r="D56" s="756"/>
      <c r="E56" s="757">
        <f t="shared" si="49"/>
        <v>6.9959999999999996</v>
      </c>
      <c r="F56" s="756">
        <f>+T27*'107 (a)'!H57</f>
        <v>1.2402500000000001</v>
      </c>
      <c r="G56" s="756">
        <f t="shared" si="42"/>
        <v>1.2402500000000001</v>
      </c>
      <c r="H56" s="757">
        <f t="shared" si="45"/>
        <v>2.4805000000000001</v>
      </c>
      <c r="I56" s="756">
        <f>+'107 (a)'!K56*'107(b)'!P56</f>
        <v>3.024</v>
      </c>
      <c r="J56" s="756"/>
      <c r="K56" s="757">
        <f t="shared" si="46"/>
        <v>3.024</v>
      </c>
      <c r="L56" s="756">
        <f>+Q56*'107 (a)'!N57</f>
        <v>3.6799999999999997</v>
      </c>
      <c r="M56" s="756"/>
      <c r="N56" s="757">
        <f t="shared" ref="N56" si="51">L56+M56</f>
        <v>3.6799999999999997</v>
      </c>
      <c r="O56" s="757">
        <f t="shared" si="43"/>
        <v>16.180499999999999</v>
      </c>
      <c r="P56" s="767">
        <v>8.4000000000000005E-2</v>
      </c>
      <c r="Q56" s="767">
        <v>9.1999999999999998E-2</v>
      </c>
      <c r="S56" s="761" t="s">
        <v>1236</v>
      </c>
      <c r="T56" s="576">
        <f>32700/1000000/2</f>
        <v>1.635E-2</v>
      </c>
    </row>
    <row r="57" spans="1:20" s="8" customFormat="1" ht="18.95" customHeight="1">
      <c r="A57" s="755">
        <v>6</v>
      </c>
      <c r="B57" s="750" t="str">
        <f>+'107 (a)'!B58</f>
        <v>Geology</v>
      </c>
      <c r="C57" s="756">
        <f>+'107 (a)'!E58*'107'!E74</f>
        <v>11.824999999999999</v>
      </c>
      <c r="D57" s="756"/>
      <c r="E57" s="757">
        <f t="shared" si="49"/>
        <v>11.824999999999999</v>
      </c>
      <c r="F57" s="756"/>
      <c r="G57" s="756">
        <f t="shared" si="42"/>
        <v>0</v>
      </c>
      <c r="H57" s="757">
        <f t="shared" si="45"/>
        <v>0</v>
      </c>
      <c r="I57" s="756">
        <f>+'107 (a)'!K57*'107(b)'!P57</f>
        <v>4.9560000000000004</v>
      </c>
      <c r="J57" s="756"/>
      <c r="K57" s="757">
        <f t="shared" si="46"/>
        <v>4.9560000000000004</v>
      </c>
      <c r="L57" s="756">
        <f>+Q57*'107 (a)'!N58</f>
        <v>1.196</v>
      </c>
      <c r="M57" s="756"/>
      <c r="N57" s="757">
        <f t="shared" ref="N57" si="52">L57+M57</f>
        <v>1.196</v>
      </c>
      <c r="O57" s="757">
        <f t="shared" si="43"/>
        <v>17.977</v>
      </c>
      <c r="P57" s="767">
        <v>8.4000000000000005E-2</v>
      </c>
      <c r="Q57" s="767">
        <v>9.1999999999999998E-2</v>
      </c>
      <c r="S57" s="761" t="s">
        <v>1237</v>
      </c>
      <c r="T57" s="576">
        <f>29050/1000000/2</f>
        <v>1.4525E-2</v>
      </c>
    </row>
    <row r="58" spans="1:20" s="8" customFormat="1" ht="18.95" customHeight="1">
      <c r="A58" s="755">
        <v>7</v>
      </c>
      <c r="B58" s="750" t="str">
        <f>+'107 (a)'!B59</f>
        <v>Geography</v>
      </c>
      <c r="C58" s="756">
        <f>+'107 (a)'!E59*'107'!E75</f>
        <v>2.2000000000000002</v>
      </c>
      <c r="D58" s="756"/>
      <c r="E58" s="757">
        <f t="shared" si="49"/>
        <v>2.2000000000000002</v>
      </c>
      <c r="F58" s="756">
        <f>+T28*'107 (a)'!H59</f>
        <v>2.4638</v>
      </c>
      <c r="G58" s="756">
        <f t="shared" si="42"/>
        <v>2.4638</v>
      </c>
      <c r="H58" s="757">
        <f t="shared" si="45"/>
        <v>4.9276</v>
      </c>
      <c r="I58" s="756">
        <f>+'107 (a)'!K58*'107(b)'!P58</f>
        <v>4.3680000000000003</v>
      </c>
      <c r="J58" s="756"/>
      <c r="K58" s="757">
        <f t="shared" si="46"/>
        <v>4.3680000000000003</v>
      </c>
      <c r="L58" s="756">
        <f>+Q58*'107 (a)'!N59</f>
        <v>0</v>
      </c>
      <c r="M58" s="756"/>
      <c r="N58" s="757">
        <f t="shared" ref="N58" si="53">L58+M58</f>
        <v>0</v>
      </c>
      <c r="O58" s="757">
        <f t="shared" si="43"/>
        <v>11.4956</v>
      </c>
      <c r="P58" s="767">
        <v>8.4000000000000005E-2</v>
      </c>
      <c r="Q58" s="767">
        <v>9.1999999999999998E-2</v>
      </c>
      <c r="S58" s="761" t="s">
        <v>1238</v>
      </c>
      <c r="T58" s="576">
        <f>32700/2/1000000</f>
        <v>1.635E-2</v>
      </c>
    </row>
    <row r="59" spans="1:20" s="8" customFormat="1" ht="18.95" customHeight="1">
      <c r="A59" s="755">
        <v>8</v>
      </c>
      <c r="B59" s="750" t="str">
        <f>+'107 (a)'!B60</f>
        <v>Geomatics</v>
      </c>
      <c r="C59" s="756">
        <f>+'107 (a)'!E60*'107'!E74</f>
        <v>7.48</v>
      </c>
      <c r="D59" s="756"/>
      <c r="E59" s="757">
        <f t="shared" si="44"/>
        <v>7.48</v>
      </c>
      <c r="F59" s="756"/>
      <c r="G59" s="756">
        <f t="shared" si="42"/>
        <v>0</v>
      </c>
      <c r="H59" s="757">
        <f t="shared" si="45"/>
        <v>0</v>
      </c>
      <c r="I59" s="756"/>
      <c r="J59" s="756"/>
      <c r="K59" s="757">
        <f t="shared" si="46"/>
        <v>0</v>
      </c>
      <c r="L59" s="756"/>
      <c r="M59" s="756"/>
      <c r="N59" s="757">
        <f t="shared" ref="N59" si="54">L59+M59</f>
        <v>0</v>
      </c>
      <c r="O59" s="757">
        <f t="shared" si="43"/>
        <v>7.48</v>
      </c>
      <c r="P59" s="767">
        <v>8.4000000000000005E-2</v>
      </c>
      <c r="Q59" s="767">
        <v>9.1999999999999998E-2</v>
      </c>
      <c r="S59" s="765"/>
    </row>
    <row r="60" spans="1:20" s="8" customFormat="1" ht="18.95" customHeight="1">
      <c r="A60" s="755">
        <v>9</v>
      </c>
      <c r="B60" s="750" t="str">
        <f>+'107 (a)'!B61</f>
        <v>Institute of Chemical Science</v>
      </c>
      <c r="C60" s="756">
        <f>+'107 (a)'!E61*'107'!E74</f>
        <v>10.395</v>
      </c>
      <c r="D60" s="756"/>
      <c r="E60" s="757">
        <f t="shared" si="44"/>
        <v>10.395</v>
      </c>
      <c r="F60" s="756"/>
      <c r="G60" s="756">
        <f t="shared" si="42"/>
        <v>0</v>
      </c>
      <c r="H60" s="757">
        <f t="shared" si="45"/>
        <v>0</v>
      </c>
      <c r="I60" s="756">
        <f>+'107 (a)'!K61*'107(b)'!P60</f>
        <v>15.708</v>
      </c>
      <c r="J60" s="756"/>
      <c r="K60" s="757">
        <f t="shared" si="46"/>
        <v>15.708</v>
      </c>
      <c r="L60" s="756">
        <f>+Q60*'107 (a)'!N61</f>
        <v>5.2439999999999998</v>
      </c>
      <c r="M60" s="756"/>
      <c r="N60" s="757">
        <f t="shared" ref="N60" si="55">L60+M60</f>
        <v>5.2439999999999998</v>
      </c>
      <c r="O60" s="757">
        <f t="shared" ref="O60:O63" si="56">+E60+H60+K60+N60</f>
        <v>31.347000000000001</v>
      </c>
      <c r="P60" s="767">
        <v>8.4000000000000005E-2</v>
      </c>
      <c r="Q60" s="767">
        <v>9.1999999999999998E-2</v>
      </c>
      <c r="S60" s="765"/>
    </row>
    <row r="61" spans="1:20" s="8" customFormat="1" ht="18.95" customHeight="1">
      <c r="A61" s="755">
        <v>10</v>
      </c>
      <c r="B61" s="750" t="str">
        <f>+'107 (a)'!B62</f>
        <v>Pharmacy</v>
      </c>
      <c r="C61" s="756">
        <f>+'107 (a)'!E62*'107'!E76</f>
        <v>9.2070000000000007</v>
      </c>
      <c r="D61" s="756"/>
      <c r="E61" s="757">
        <f t="shared" si="44"/>
        <v>9.2070000000000007</v>
      </c>
      <c r="F61" s="756"/>
      <c r="G61" s="756">
        <f t="shared" si="42"/>
        <v>0</v>
      </c>
      <c r="H61" s="757">
        <f t="shared" si="45"/>
        <v>0</v>
      </c>
      <c r="I61" s="756">
        <f>+'107 (a)'!K62*'107(b)'!P61</f>
        <v>3.6120000000000001</v>
      </c>
      <c r="J61" s="756"/>
      <c r="K61" s="757">
        <f t="shared" si="46"/>
        <v>3.6120000000000001</v>
      </c>
      <c r="L61" s="756">
        <f>+Q61*'107 (a)'!N62</f>
        <v>3.6799999999999997</v>
      </c>
      <c r="M61" s="756"/>
      <c r="N61" s="757">
        <f t="shared" ref="N61" si="57">L61+M61</f>
        <v>3.6799999999999997</v>
      </c>
      <c r="O61" s="757">
        <f t="shared" si="56"/>
        <v>16.499000000000002</v>
      </c>
      <c r="P61" s="767">
        <v>8.4000000000000005E-2</v>
      </c>
      <c r="Q61" s="767">
        <v>9.1999999999999998E-2</v>
      </c>
      <c r="S61" s="765"/>
    </row>
    <row r="62" spans="1:20" s="8" customFormat="1" ht="18.95" customHeight="1">
      <c r="A62" s="755">
        <v>11</v>
      </c>
      <c r="B62" s="750" t="str">
        <f>+'107 (a)'!B63</f>
        <v>Urban &amp; Regional Planning</v>
      </c>
      <c r="C62" s="756">
        <f>+'107 (a)'!E63*'107'!E77</f>
        <v>7.81</v>
      </c>
      <c r="D62" s="756"/>
      <c r="E62" s="757">
        <f t="shared" si="44"/>
        <v>7.81</v>
      </c>
      <c r="F62" s="756"/>
      <c r="G62" s="756">
        <f t="shared" si="42"/>
        <v>0</v>
      </c>
      <c r="H62" s="757">
        <f t="shared" si="45"/>
        <v>0</v>
      </c>
      <c r="I62" s="756">
        <f>+'107 (a)'!K63*'107(b)'!P62</f>
        <v>1.3440000000000001</v>
      </c>
      <c r="J62" s="756"/>
      <c r="K62" s="757">
        <f t="shared" si="46"/>
        <v>1.3440000000000001</v>
      </c>
      <c r="L62" s="756">
        <f>+Q62*'107 (a)'!N63</f>
        <v>0.73599999999999999</v>
      </c>
      <c r="M62" s="756"/>
      <c r="N62" s="757">
        <f t="shared" ref="N62" si="58">L62+M62</f>
        <v>0.73599999999999999</v>
      </c>
      <c r="O62" s="757">
        <f t="shared" si="56"/>
        <v>9.89</v>
      </c>
      <c r="P62" s="767">
        <v>8.4000000000000005E-2</v>
      </c>
      <c r="Q62" s="767">
        <v>9.1999999999999998E-2</v>
      </c>
      <c r="S62" s="765"/>
    </row>
    <row r="63" spans="1:20" s="8" customFormat="1" ht="18.95" customHeight="1">
      <c r="A63" s="755">
        <v>12</v>
      </c>
      <c r="B63" s="750" t="str">
        <f>+'107 (a)'!B65</f>
        <v>Zoology</v>
      </c>
      <c r="C63" s="756">
        <f>+'107 (a)'!E65*'107'!E78</f>
        <v>10.945</v>
      </c>
      <c r="D63" s="756"/>
      <c r="E63" s="757">
        <f t="shared" si="44"/>
        <v>10.945</v>
      </c>
      <c r="F63" s="756">
        <f>+'107 (a)'!H65</f>
        <v>98</v>
      </c>
      <c r="G63" s="756">
        <f t="shared" si="42"/>
        <v>98</v>
      </c>
      <c r="H63" s="757">
        <f t="shared" si="45"/>
        <v>196</v>
      </c>
      <c r="I63" s="756">
        <f>+'107 (a)'!K65*'107(b)'!P63</f>
        <v>7.4760000000000009</v>
      </c>
      <c r="J63" s="756"/>
      <c r="K63" s="757">
        <f t="shared" si="46"/>
        <v>7.4760000000000009</v>
      </c>
      <c r="L63" s="756">
        <f>+'107 (a)'!N65*'107(b)'!Q63</f>
        <v>3.8639999999999999</v>
      </c>
      <c r="M63" s="756"/>
      <c r="N63" s="757">
        <f t="shared" ref="N63" si="59">L63+M63</f>
        <v>3.8639999999999999</v>
      </c>
      <c r="O63" s="757">
        <f t="shared" si="56"/>
        <v>218.285</v>
      </c>
      <c r="P63" s="767">
        <v>8.4000000000000005E-2</v>
      </c>
      <c r="Q63" s="767">
        <v>9.1999999999999998E-2</v>
      </c>
      <c r="S63" s="765"/>
    </row>
    <row r="64" spans="1:20" ht="20.100000000000001" customHeight="1">
      <c r="A64" s="1541" t="s">
        <v>893</v>
      </c>
      <c r="B64" s="1541"/>
      <c r="C64" s="758">
        <f>SUM(C52:C62)</f>
        <v>84.953000000000003</v>
      </c>
      <c r="D64" s="758">
        <f t="shared" ref="D64:O64" si="60">SUM(D52:D62)</f>
        <v>0</v>
      </c>
      <c r="E64" s="758">
        <f t="shared" si="60"/>
        <v>84.953000000000003</v>
      </c>
      <c r="F64" s="758">
        <f t="shared" si="60"/>
        <v>6.6080499999999995</v>
      </c>
      <c r="G64" s="758">
        <f t="shared" si="60"/>
        <v>6.6080499999999995</v>
      </c>
      <c r="H64" s="758">
        <f t="shared" si="60"/>
        <v>13.216099999999999</v>
      </c>
      <c r="I64" s="758">
        <f t="shared" si="60"/>
        <v>45.78</v>
      </c>
      <c r="J64" s="758">
        <f t="shared" si="60"/>
        <v>0</v>
      </c>
      <c r="K64" s="758">
        <f t="shared" si="60"/>
        <v>45.78</v>
      </c>
      <c r="L64" s="758">
        <f t="shared" si="60"/>
        <v>23.367999999999999</v>
      </c>
      <c r="M64" s="758">
        <f t="shared" si="60"/>
        <v>0</v>
      </c>
      <c r="N64" s="758">
        <f t="shared" si="60"/>
        <v>23.367999999999999</v>
      </c>
      <c r="O64" s="758">
        <f t="shared" si="60"/>
        <v>167.31709999999998</v>
      </c>
      <c r="P64" s="767">
        <v>8.4000000000000005E-2</v>
      </c>
      <c r="Q64" s="767">
        <v>9.1999999999999998E-2</v>
      </c>
    </row>
    <row r="65" spans="1:19" ht="20.100000000000001" customHeight="1">
      <c r="A65" s="1540" t="s">
        <v>1157</v>
      </c>
      <c r="B65" s="1540"/>
      <c r="C65" s="1540"/>
      <c r="D65" s="1540"/>
      <c r="E65" s="1540"/>
      <c r="F65" s="1540"/>
      <c r="G65" s="1540"/>
      <c r="H65" s="1540"/>
      <c r="I65" s="1540"/>
      <c r="J65" s="1540"/>
      <c r="K65" s="1540"/>
      <c r="L65" s="1540"/>
      <c r="M65" s="1540"/>
      <c r="N65" s="1540"/>
      <c r="O65" s="1540"/>
      <c r="P65" s="767">
        <v>8.4000000000000005E-2</v>
      </c>
      <c r="Q65" s="767">
        <v>9.1999999999999998E-2</v>
      </c>
    </row>
    <row r="66" spans="1:19" ht="25.5">
      <c r="A66" s="755">
        <v>1</v>
      </c>
      <c r="B66" s="750" t="s">
        <v>1158</v>
      </c>
      <c r="C66" s="756">
        <f>+'107 (a)'!E68*'107'!E82</f>
        <v>23.111999999999998</v>
      </c>
      <c r="D66" s="756"/>
      <c r="E66" s="757">
        <f t="shared" ref="E66:E70" si="61">C66+D66</f>
        <v>23.111999999999998</v>
      </c>
      <c r="F66" s="756">
        <f>+T35*'107 (a)'!H68</f>
        <v>1.3243499999999999</v>
      </c>
      <c r="G66" s="756">
        <f t="shared" ref="G66:G70" si="62">+F66</f>
        <v>1.3243499999999999</v>
      </c>
      <c r="H66" s="757">
        <f t="shared" ref="H66:H70" si="63">F66+G66</f>
        <v>2.6486999999999998</v>
      </c>
      <c r="I66" s="756">
        <f>+'107 (a)'!K68*'107(b)'!P66</f>
        <v>3.6120000000000001</v>
      </c>
      <c r="J66" s="756"/>
      <c r="K66" s="757">
        <f t="shared" ref="K66:K70" si="64">I66+J66</f>
        <v>3.6120000000000001</v>
      </c>
      <c r="L66" s="756">
        <f>+'107 (a)'!N68*'107(b)'!Q66</f>
        <v>0.91999999999999993</v>
      </c>
      <c r="M66" s="756"/>
      <c r="N66" s="757">
        <f t="shared" ref="N66:N70" si="65">L66+M66</f>
        <v>0.91999999999999993</v>
      </c>
      <c r="O66" s="757">
        <f t="shared" ref="O66:O70" si="66">+E66+H66+K66+N66</f>
        <v>30.292700000000004</v>
      </c>
      <c r="P66" s="767">
        <v>8.4000000000000005E-2</v>
      </c>
      <c r="Q66" s="767">
        <v>9.1999999999999998E-2</v>
      </c>
    </row>
    <row r="67" spans="1:19" ht="25.5">
      <c r="A67" s="755">
        <v>2</v>
      </c>
      <c r="B67" s="750" t="s">
        <v>1159</v>
      </c>
      <c r="C67" s="756">
        <f>+'107 (a)'!E69*'107'!E75</f>
        <v>18.754999999999999</v>
      </c>
      <c r="D67" s="756"/>
      <c r="E67" s="757">
        <f t="shared" si="61"/>
        <v>18.754999999999999</v>
      </c>
      <c r="F67" s="756">
        <f>+T32*'107 (a)'!H69</f>
        <v>4.5738000000000003</v>
      </c>
      <c r="G67" s="756">
        <f t="shared" si="62"/>
        <v>4.5738000000000003</v>
      </c>
      <c r="H67" s="757">
        <f t="shared" si="63"/>
        <v>9.1476000000000006</v>
      </c>
      <c r="I67" s="756">
        <f>+'107 (a)'!K69*'107(b)'!P67</f>
        <v>2.52</v>
      </c>
      <c r="J67" s="756"/>
      <c r="K67" s="757">
        <f t="shared" si="64"/>
        <v>2.52</v>
      </c>
      <c r="L67" s="756">
        <f>+'107 (a)'!N69*'107(b)'!Q67</f>
        <v>2.5760000000000001</v>
      </c>
      <c r="M67" s="756"/>
      <c r="N67" s="757">
        <f t="shared" si="65"/>
        <v>2.5760000000000001</v>
      </c>
      <c r="O67" s="757">
        <f t="shared" si="66"/>
        <v>32.998599999999996</v>
      </c>
      <c r="P67" s="767">
        <v>8.4000000000000005E-2</v>
      </c>
      <c r="Q67" s="767">
        <v>9.1999999999999998E-2</v>
      </c>
    </row>
    <row r="68" spans="1:19" ht="25.5">
      <c r="A68" s="755">
        <v>3</v>
      </c>
      <c r="B68" s="751" t="s">
        <v>1160</v>
      </c>
      <c r="C68" s="756"/>
      <c r="D68" s="756"/>
      <c r="E68" s="757">
        <f t="shared" si="61"/>
        <v>0</v>
      </c>
      <c r="F68" s="756">
        <f>+T36*'107 (a)'!H70</f>
        <v>1.6513500000000001</v>
      </c>
      <c r="G68" s="756">
        <f t="shared" si="62"/>
        <v>1.6513500000000001</v>
      </c>
      <c r="H68" s="757">
        <f t="shared" si="63"/>
        <v>3.3027000000000002</v>
      </c>
      <c r="I68" s="756">
        <f>+'107 (a)'!K70*'107(b)'!P68</f>
        <v>2.7720000000000002</v>
      </c>
      <c r="J68" s="756"/>
      <c r="K68" s="757">
        <f t="shared" si="64"/>
        <v>2.7720000000000002</v>
      </c>
      <c r="L68" s="756">
        <f>+'107 (a)'!N70*'107(b)'!Q68</f>
        <v>1.6559999999999999</v>
      </c>
      <c r="M68" s="756"/>
      <c r="N68" s="757">
        <f t="shared" si="65"/>
        <v>1.6559999999999999</v>
      </c>
      <c r="O68" s="757">
        <f t="shared" si="66"/>
        <v>7.7306999999999997</v>
      </c>
      <c r="P68" s="767">
        <v>8.4000000000000005E-2</v>
      </c>
      <c r="Q68" s="767">
        <v>9.1999999999999998E-2</v>
      </c>
    </row>
    <row r="69" spans="1:19" ht="25.5">
      <c r="A69" s="755">
        <v>4</v>
      </c>
      <c r="B69" s="751" t="s">
        <v>1161</v>
      </c>
      <c r="C69" s="756"/>
      <c r="D69" s="756"/>
      <c r="E69" s="757">
        <f t="shared" si="61"/>
        <v>0</v>
      </c>
      <c r="F69" s="756">
        <f>+T37*'107 (a)'!H71</f>
        <v>1.7821499999999999</v>
      </c>
      <c r="G69" s="756">
        <f t="shared" si="62"/>
        <v>1.7821499999999999</v>
      </c>
      <c r="H69" s="757">
        <f t="shared" si="63"/>
        <v>3.5642999999999998</v>
      </c>
      <c r="I69" s="756">
        <f>+'107 (a)'!K71*'107(b)'!P69</f>
        <v>1.6800000000000002</v>
      </c>
      <c r="J69" s="756"/>
      <c r="K69" s="757">
        <f t="shared" si="64"/>
        <v>1.6800000000000002</v>
      </c>
      <c r="L69" s="756">
        <f>+'107 (a)'!N71*'107(b)'!Q69</f>
        <v>0</v>
      </c>
      <c r="M69" s="756"/>
      <c r="N69" s="757">
        <f t="shared" si="65"/>
        <v>0</v>
      </c>
      <c r="O69" s="757">
        <f t="shared" si="66"/>
        <v>5.2443</v>
      </c>
      <c r="P69" s="767">
        <v>8.4000000000000005E-2</v>
      </c>
      <c r="Q69" s="767">
        <v>9.1999999999999998E-2</v>
      </c>
    </row>
    <row r="70" spans="1:19" ht="25.5">
      <c r="A70" s="755">
        <v>5</v>
      </c>
      <c r="B70" s="751" t="s">
        <v>1162</v>
      </c>
      <c r="C70" s="756">
        <f>+'107 (a)'!E72*'107'!E81</f>
        <v>13.4244</v>
      </c>
      <c r="D70" s="756"/>
      <c r="E70" s="757">
        <f t="shared" si="61"/>
        <v>13.4244</v>
      </c>
      <c r="F70" s="756">
        <f>+T33*'107 (a)'!H72</f>
        <v>2.0764499999999999</v>
      </c>
      <c r="G70" s="756">
        <f t="shared" si="62"/>
        <v>2.0764499999999999</v>
      </c>
      <c r="H70" s="757">
        <f t="shared" si="63"/>
        <v>4.1528999999999998</v>
      </c>
      <c r="I70" s="756">
        <f>+'107 (a)'!K72*'107(b)'!P70</f>
        <v>0</v>
      </c>
      <c r="J70" s="756"/>
      <c r="K70" s="757">
        <f t="shared" si="64"/>
        <v>0</v>
      </c>
      <c r="L70" s="756">
        <f>+'107 (a)'!N72*'107(b)'!Q70</f>
        <v>0</v>
      </c>
      <c r="M70" s="756"/>
      <c r="N70" s="757">
        <f t="shared" si="65"/>
        <v>0</v>
      </c>
      <c r="O70" s="757">
        <f t="shared" si="66"/>
        <v>17.577300000000001</v>
      </c>
      <c r="P70" s="767">
        <v>8.4000000000000005E-2</v>
      </c>
      <c r="Q70" s="767">
        <v>9.1999999999999998E-2</v>
      </c>
    </row>
    <row r="71" spans="1:19" ht="20.100000000000001" customHeight="1">
      <c r="A71" s="1541" t="s">
        <v>893</v>
      </c>
      <c r="B71" s="1541"/>
      <c r="C71" s="760">
        <f t="shared" ref="C71" si="67">SUM(C66:C70)</f>
        <v>55.291399999999996</v>
      </c>
      <c r="D71" s="760">
        <f t="shared" ref="D71" si="68">SUM(D66:D70)</f>
        <v>0</v>
      </c>
      <c r="E71" s="760">
        <f t="shared" ref="E71" si="69">SUM(E66:E70)</f>
        <v>55.291399999999996</v>
      </c>
      <c r="F71" s="760">
        <f t="shared" ref="F71" si="70">SUM(F66:F70)</f>
        <v>11.408099999999999</v>
      </c>
      <c r="G71" s="760">
        <f t="shared" ref="G71" si="71">SUM(G66:G70)</f>
        <v>11.408099999999999</v>
      </c>
      <c r="H71" s="760">
        <f t="shared" ref="H71" si="72">SUM(H66:H70)</f>
        <v>22.816199999999998</v>
      </c>
      <c r="I71" s="760">
        <f t="shared" ref="I71" si="73">SUM(I66:I70)</f>
        <v>10.584</v>
      </c>
      <c r="J71" s="760">
        <f t="shared" ref="J71" si="74">SUM(J66:J70)</f>
        <v>0</v>
      </c>
      <c r="K71" s="760">
        <f t="shared" ref="K71" si="75">SUM(K66:K70)</f>
        <v>10.584</v>
      </c>
      <c r="L71" s="760">
        <f t="shared" ref="L71" si="76">SUM(L66:L70)</f>
        <v>5.1520000000000001</v>
      </c>
      <c r="M71" s="760">
        <f t="shared" ref="M71" si="77">SUM(M66:M70)</f>
        <v>0</v>
      </c>
      <c r="N71" s="760">
        <f t="shared" ref="N71" si="78">SUM(N66:N70)</f>
        <v>5.1520000000000001</v>
      </c>
      <c r="O71" s="760">
        <f t="shared" ref="O71" si="79">SUM(O66:O70)</f>
        <v>93.843600000000009</v>
      </c>
      <c r="P71" s="767">
        <v>8.4000000000000005E-2</v>
      </c>
      <c r="Q71" s="767">
        <v>9.1999999999999998E-2</v>
      </c>
    </row>
    <row r="72" spans="1:19" ht="20.100000000000001" customHeight="1">
      <c r="A72" s="1395" t="s">
        <v>878</v>
      </c>
      <c r="B72" s="1395"/>
      <c r="C72" s="1497" t="s">
        <v>1106</v>
      </c>
      <c r="D72" s="1498"/>
      <c r="E72" s="1498"/>
      <c r="F72" s="1498"/>
      <c r="G72" s="1498"/>
      <c r="H72" s="1498"/>
      <c r="I72" s="1542"/>
      <c r="J72" s="1542"/>
      <c r="K72" s="1542"/>
      <c r="L72" s="1542"/>
      <c r="M72" s="1542"/>
      <c r="N72" s="1542"/>
      <c r="O72" s="1543"/>
      <c r="P72" s="774"/>
      <c r="Q72" s="774"/>
    </row>
    <row r="73" spans="1:19" ht="20.100000000000001" customHeight="1">
      <c r="A73" s="1395"/>
      <c r="B73" s="1395"/>
      <c r="C73" s="1501" t="s">
        <v>154</v>
      </c>
      <c r="D73" s="1502" t="s">
        <v>155</v>
      </c>
      <c r="E73" s="1503"/>
      <c r="F73" s="1504" t="s">
        <v>156</v>
      </c>
      <c r="G73" s="1505"/>
      <c r="H73" s="1506"/>
      <c r="I73" s="1507" t="s">
        <v>880</v>
      </c>
      <c r="J73" s="1508"/>
      <c r="K73" s="1509"/>
      <c r="L73" s="1501" t="s">
        <v>136</v>
      </c>
      <c r="M73" s="1502"/>
      <c r="N73" s="1503"/>
      <c r="O73" s="1510" t="s">
        <v>138</v>
      </c>
      <c r="P73" s="771"/>
      <c r="Q73" s="771"/>
    </row>
    <row r="74" spans="1:19" ht="40.5" customHeight="1">
      <c r="A74" s="1395"/>
      <c r="B74" s="1395"/>
      <c r="C74" s="229" t="s">
        <v>882</v>
      </c>
      <c r="D74" s="230" t="s">
        <v>883</v>
      </c>
      <c r="E74" s="24" t="s">
        <v>138</v>
      </c>
      <c r="F74" s="229" t="s">
        <v>882</v>
      </c>
      <c r="G74" s="230" t="s">
        <v>883</v>
      </c>
      <c r="H74" s="24" t="s">
        <v>138</v>
      </c>
      <c r="I74" s="229" t="s">
        <v>882</v>
      </c>
      <c r="J74" s="230" t="s">
        <v>883</v>
      </c>
      <c r="K74" s="24" t="s">
        <v>138</v>
      </c>
      <c r="L74" s="229" t="s">
        <v>882</v>
      </c>
      <c r="M74" s="230" t="s">
        <v>883</v>
      </c>
      <c r="N74" s="24" t="s">
        <v>138</v>
      </c>
      <c r="O74" s="1511"/>
      <c r="P74" s="771"/>
      <c r="Q74" s="771"/>
    </row>
    <row r="75" spans="1:19" ht="20.100000000000001" customHeight="1">
      <c r="A75" s="1534" t="s">
        <v>879</v>
      </c>
      <c r="B75" s="1535"/>
      <c r="C75" s="748"/>
      <c r="D75" s="748"/>
      <c r="E75" s="749"/>
      <c r="F75" s="748"/>
      <c r="G75" s="748"/>
      <c r="H75" s="749"/>
      <c r="I75" s="748"/>
      <c r="J75" s="748"/>
      <c r="K75" s="749"/>
      <c r="L75" s="748"/>
      <c r="M75" s="748"/>
      <c r="N75" s="749"/>
      <c r="O75" s="748"/>
      <c r="P75" s="773"/>
      <c r="Q75" s="773"/>
    </row>
    <row r="76" spans="1:19" s="8" customFormat="1" ht="20.100000000000001" customHeight="1">
      <c r="A76" s="731">
        <v>1</v>
      </c>
      <c r="B76" s="732"/>
      <c r="C76" s="733"/>
      <c r="D76" s="733"/>
      <c r="E76" s="734">
        <f>C76+D76</f>
        <v>0</v>
      </c>
      <c r="F76" s="733"/>
      <c r="G76" s="733"/>
      <c r="H76" s="734">
        <f>F76+G76</f>
        <v>0</v>
      </c>
      <c r="I76" s="733"/>
      <c r="J76" s="733"/>
      <c r="K76" s="734">
        <f>I76+J76</f>
        <v>0</v>
      </c>
      <c r="L76" s="733"/>
      <c r="M76" s="733"/>
      <c r="N76" s="734">
        <f>L76+M76</f>
        <v>0</v>
      </c>
      <c r="O76" s="735">
        <f>M76+N76</f>
        <v>0</v>
      </c>
      <c r="P76" s="775"/>
      <c r="Q76" s="775"/>
      <c r="S76" s="765"/>
    </row>
    <row r="77" spans="1:19" s="8" customFormat="1" ht="20.100000000000001" customHeight="1">
      <c r="A77" s="736">
        <v>2</v>
      </c>
      <c r="B77" s="752"/>
      <c r="C77" s="737"/>
      <c r="D77" s="737"/>
      <c r="E77" s="738">
        <f>C77+D77</f>
        <v>0</v>
      </c>
      <c r="F77" s="737"/>
      <c r="G77" s="737"/>
      <c r="H77" s="738">
        <f>F77+G77</f>
        <v>0</v>
      </c>
      <c r="I77" s="737"/>
      <c r="J77" s="737"/>
      <c r="K77" s="738">
        <f>I77+J77</f>
        <v>0</v>
      </c>
      <c r="L77" s="737"/>
      <c r="M77" s="737"/>
      <c r="N77" s="738">
        <f>L77+M77</f>
        <v>0</v>
      </c>
      <c r="O77" s="739">
        <f>M77+N77</f>
        <v>0</v>
      </c>
      <c r="P77" s="775"/>
      <c r="Q77" s="775"/>
      <c r="S77" s="765"/>
    </row>
    <row r="78" spans="1:19" s="8" customFormat="1" ht="20.100000000000001" customHeight="1">
      <c r="A78" s="736">
        <v>3</v>
      </c>
      <c r="B78" s="752"/>
      <c r="C78" s="737"/>
      <c r="D78" s="737"/>
      <c r="E78" s="738">
        <f t="shared" ref="E78:E81" si="80">C78+D78</f>
        <v>0</v>
      </c>
      <c r="F78" s="737"/>
      <c r="G78" s="737"/>
      <c r="H78" s="738">
        <f t="shared" ref="H78:H81" si="81">F78+G78</f>
        <v>0</v>
      </c>
      <c r="I78" s="737"/>
      <c r="J78" s="737"/>
      <c r="K78" s="738">
        <f t="shared" ref="K78:K81" si="82">I78+J78</f>
        <v>0</v>
      </c>
      <c r="L78" s="737"/>
      <c r="M78" s="737"/>
      <c r="N78" s="738">
        <f t="shared" ref="N78:O81" si="83">L78+M78</f>
        <v>0</v>
      </c>
      <c r="O78" s="739">
        <f t="shared" si="83"/>
        <v>0</v>
      </c>
      <c r="P78" s="775"/>
      <c r="Q78" s="775"/>
      <c r="S78" s="765"/>
    </row>
    <row r="79" spans="1:19" s="8" customFormat="1" ht="20.100000000000001" customHeight="1">
      <c r="A79" s="736">
        <v>4</v>
      </c>
      <c r="B79" s="752"/>
      <c r="C79" s="737"/>
      <c r="D79" s="737"/>
      <c r="E79" s="738">
        <f t="shared" si="80"/>
        <v>0</v>
      </c>
      <c r="F79" s="737"/>
      <c r="G79" s="737"/>
      <c r="H79" s="738">
        <f t="shared" si="81"/>
        <v>0</v>
      </c>
      <c r="I79" s="737"/>
      <c r="J79" s="737"/>
      <c r="K79" s="738">
        <f t="shared" si="82"/>
        <v>0</v>
      </c>
      <c r="L79" s="737"/>
      <c r="M79" s="737"/>
      <c r="N79" s="738">
        <f t="shared" si="83"/>
        <v>0</v>
      </c>
      <c r="O79" s="739">
        <f t="shared" si="83"/>
        <v>0</v>
      </c>
      <c r="P79" s="775"/>
      <c r="Q79" s="775"/>
      <c r="S79" s="765"/>
    </row>
    <row r="80" spans="1:19" s="8" customFormat="1" ht="20.100000000000001" customHeight="1">
      <c r="A80" s="736">
        <v>5</v>
      </c>
      <c r="B80" s="752"/>
      <c r="C80" s="737"/>
      <c r="D80" s="737"/>
      <c r="E80" s="738">
        <f t="shared" si="80"/>
        <v>0</v>
      </c>
      <c r="F80" s="737"/>
      <c r="G80" s="737"/>
      <c r="H80" s="738">
        <f t="shared" si="81"/>
        <v>0</v>
      </c>
      <c r="I80" s="737"/>
      <c r="J80" s="737"/>
      <c r="K80" s="738">
        <f t="shared" si="82"/>
        <v>0</v>
      </c>
      <c r="L80" s="737"/>
      <c r="M80" s="737"/>
      <c r="N80" s="738">
        <f t="shared" si="83"/>
        <v>0</v>
      </c>
      <c r="O80" s="739">
        <f t="shared" si="83"/>
        <v>0</v>
      </c>
      <c r="P80" s="775"/>
      <c r="Q80" s="775"/>
      <c r="S80" s="765"/>
    </row>
    <row r="81" spans="1:19" s="8" customFormat="1" ht="20.100000000000001" customHeight="1">
      <c r="A81" s="740">
        <v>6</v>
      </c>
      <c r="B81" s="753"/>
      <c r="C81" s="741"/>
      <c r="D81" s="741"/>
      <c r="E81" s="742">
        <f t="shared" si="80"/>
        <v>0</v>
      </c>
      <c r="F81" s="741"/>
      <c r="G81" s="741"/>
      <c r="H81" s="742">
        <f t="shared" si="81"/>
        <v>0</v>
      </c>
      <c r="I81" s="741"/>
      <c r="J81" s="741"/>
      <c r="K81" s="742">
        <f t="shared" si="82"/>
        <v>0</v>
      </c>
      <c r="L81" s="741"/>
      <c r="M81" s="741"/>
      <c r="N81" s="742">
        <f t="shared" si="83"/>
        <v>0</v>
      </c>
      <c r="O81" s="743">
        <f t="shared" si="83"/>
        <v>0</v>
      </c>
      <c r="P81" s="775"/>
      <c r="Q81" s="775"/>
      <c r="S81" s="765"/>
    </row>
    <row r="82" spans="1:19" ht="20.100000000000001" customHeight="1">
      <c r="A82" s="1536" t="s">
        <v>893</v>
      </c>
      <c r="B82" s="1537"/>
      <c r="C82" s="744">
        <f>SUM(C76:C80)</f>
        <v>0</v>
      </c>
      <c r="D82" s="745">
        <f>SUM(D76:D80)</f>
        <v>0</v>
      </c>
      <c r="E82" s="746">
        <f>C82+D82</f>
        <v>0</v>
      </c>
      <c r="F82" s="744">
        <f>SUM(F76:F80)</f>
        <v>0</v>
      </c>
      <c r="G82" s="745">
        <f>SUM(G76:G80)</f>
        <v>0</v>
      </c>
      <c r="H82" s="746">
        <f>F82+G82</f>
        <v>0</v>
      </c>
      <c r="I82" s="744">
        <f>SUM(I76:I80)</f>
        <v>0</v>
      </c>
      <c r="J82" s="745">
        <f>SUM(J76:J80)</f>
        <v>0</v>
      </c>
      <c r="K82" s="746">
        <f>I82+J82</f>
        <v>0</v>
      </c>
      <c r="L82" s="744">
        <f>SUM(L76:L80)</f>
        <v>0</v>
      </c>
      <c r="M82" s="745">
        <f>SUM(M76:M80)</f>
        <v>0</v>
      </c>
      <c r="N82" s="746">
        <f>L82+M82</f>
        <v>0</v>
      </c>
      <c r="O82" s="747">
        <f>E82+H82+K82+N82</f>
        <v>0</v>
      </c>
      <c r="P82" s="776"/>
      <c r="Q82" s="776"/>
    </row>
    <row r="83" spans="1:19" ht="20.100000000000001" customHeight="1">
      <c r="A83" s="1534" t="s">
        <v>149</v>
      </c>
      <c r="B83" s="1535"/>
      <c r="C83" s="748"/>
      <c r="D83" s="748"/>
      <c r="E83" s="749"/>
      <c r="F83" s="748"/>
      <c r="G83" s="748"/>
      <c r="H83" s="749"/>
      <c r="I83" s="748"/>
      <c r="J83" s="748"/>
      <c r="K83" s="749"/>
      <c r="L83" s="748"/>
      <c r="M83" s="748"/>
      <c r="N83" s="749"/>
      <c r="O83" s="748"/>
      <c r="P83" s="773"/>
      <c r="Q83" s="773"/>
    </row>
    <row r="84" spans="1:19" s="8" customFormat="1" ht="20.100000000000001" customHeight="1">
      <c r="A84" s="731">
        <v>1</v>
      </c>
      <c r="B84" s="732"/>
      <c r="C84" s="733"/>
      <c r="D84" s="733"/>
      <c r="E84" s="734">
        <f>C84+D84</f>
        <v>0</v>
      </c>
      <c r="F84" s="733"/>
      <c r="G84" s="733"/>
      <c r="H84" s="734">
        <f>F84+G84</f>
        <v>0</v>
      </c>
      <c r="I84" s="733"/>
      <c r="J84" s="733"/>
      <c r="K84" s="734">
        <f>I84+J84</f>
        <v>0</v>
      </c>
      <c r="L84" s="733"/>
      <c r="M84" s="733"/>
      <c r="N84" s="734">
        <f>L84+M84</f>
        <v>0</v>
      </c>
      <c r="O84" s="735">
        <f>M84+N84</f>
        <v>0</v>
      </c>
      <c r="P84" s="775"/>
      <c r="Q84" s="775"/>
      <c r="S84" s="765"/>
    </row>
    <row r="85" spans="1:19" s="8" customFormat="1" ht="20.100000000000001" customHeight="1">
      <c r="A85" s="736">
        <v>2</v>
      </c>
      <c r="B85" s="752"/>
      <c r="C85" s="737"/>
      <c r="D85" s="737"/>
      <c r="E85" s="738">
        <f>C85+D85</f>
        <v>0</v>
      </c>
      <c r="F85" s="737"/>
      <c r="G85" s="737"/>
      <c r="H85" s="738">
        <f>F85+G85</f>
        <v>0</v>
      </c>
      <c r="I85" s="737"/>
      <c r="J85" s="737"/>
      <c r="K85" s="738">
        <f>I85+J85</f>
        <v>0</v>
      </c>
      <c r="L85" s="737"/>
      <c r="M85" s="737"/>
      <c r="N85" s="738">
        <f>L85+M85</f>
        <v>0</v>
      </c>
      <c r="O85" s="739">
        <f>M85+N85</f>
        <v>0</v>
      </c>
      <c r="P85" s="775"/>
      <c r="Q85" s="775"/>
      <c r="S85" s="765"/>
    </row>
    <row r="86" spans="1:19" s="8" customFormat="1" ht="20.100000000000001" customHeight="1">
      <c r="A86" s="736">
        <v>3</v>
      </c>
      <c r="B86" s="752"/>
      <c r="C86" s="737"/>
      <c r="D86" s="737"/>
      <c r="E86" s="738">
        <f t="shared" ref="E86:E89" si="84">C86+D86</f>
        <v>0</v>
      </c>
      <c r="F86" s="737"/>
      <c r="G86" s="737"/>
      <c r="H86" s="738">
        <f t="shared" ref="H86:H89" si="85">F86+G86</f>
        <v>0</v>
      </c>
      <c r="I86" s="737"/>
      <c r="J86" s="737"/>
      <c r="K86" s="738">
        <f t="shared" ref="K86:K89" si="86">I86+J86</f>
        <v>0</v>
      </c>
      <c r="L86" s="737"/>
      <c r="M86" s="737"/>
      <c r="N86" s="738">
        <f t="shared" ref="N86:O89" si="87">L86+M86</f>
        <v>0</v>
      </c>
      <c r="O86" s="739">
        <f t="shared" si="87"/>
        <v>0</v>
      </c>
      <c r="P86" s="775"/>
      <c r="Q86" s="775"/>
      <c r="S86" s="765"/>
    </row>
    <row r="87" spans="1:19" s="8" customFormat="1" ht="20.100000000000001" customHeight="1">
      <c r="A87" s="736">
        <v>4</v>
      </c>
      <c r="B87" s="752"/>
      <c r="C87" s="737"/>
      <c r="D87" s="737"/>
      <c r="E87" s="738">
        <f t="shared" si="84"/>
        <v>0</v>
      </c>
      <c r="F87" s="737"/>
      <c r="G87" s="737"/>
      <c r="H87" s="738">
        <f t="shared" si="85"/>
        <v>0</v>
      </c>
      <c r="I87" s="737"/>
      <c r="J87" s="737"/>
      <c r="K87" s="738">
        <f t="shared" si="86"/>
        <v>0</v>
      </c>
      <c r="L87" s="737"/>
      <c r="M87" s="737"/>
      <c r="N87" s="738">
        <f t="shared" si="87"/>
        <v>0</v>
      </c>
      <c r="O87" s="739">
        <f t="shared" si="87"/>
        <v>0</v>
      </c>
      <c r="P87" s="775"/>
      <c r="Q87" s="775"/>
      <c r="S87" s="765"/>
    </row>
    <row r="88" spans="1:19" s="8" customFormat="1" ht="20.100000000000001" customHeight="1">
      <c r="A88" s="736">
        <v>5</v>
      </c>
      <c r="B88" s="752"/>
      <c r="C88" s="737"/>
      <c r="D88" s="737"/>
      <c r="E88" s="738">
        <f t="shared" si="84"/>
        <v>0</v>
      </c>
      <c r="F88" s="737"/>
      <c r="G88" s="737"/>
      <c r="H88" s="738">
        <f t="shared" si="85"/>
        <v>0</v>
      </c>
      <c r="I88" s="737"/>
      <c r="J88" s="737"/>
      <c r="K88" s="738">
        <f t="shared" si="86"/>
        <v>0</v>
      </c>
      <c r="L88" s="737"/>
      <c r="M88" s="737"/>
      <c r="N88" s="738">
        <f t="shared" si="87"/>
        <v>0</v>
      </c>
      <c r="O88" s="739">
        <f t="shared" si="87"/>
        <v>0</v>
      </c>
      <c r="P88" s="775"/>
      <c r="Q88" s="775"/>
      <c r="S88" s="765"/>
    </row>
    <row r="89" spans="1:19" s="8" customFormat="1" ht="20.100000000000001" customHeight="1">
      <c r="A89" s="740">
        <v>6</v>
      </c>
      <c r="B89" s="753"/>
      <c r="C89" s="741"/>
      <c r="D89" s="741"/>
      <c r="E89" s="742">
        <f t="shared" si="84"/>
        <v>0</v>
      </c>
      <c r="F89" s="741"/>
      <c r="G89" s="741"/>
      <c r="H89" s="742">
        <f t="shared" si="85"/>
        <v>0</v>
      </c>
      <c r="I89" s="741"/>
      <c r="J89" s="741"/>
      <c r="K89" s="742">
        <f t="shared" si="86"/>
        <v>0</v>
      </c>
      <c r="L89" s="741"/>
      <c r="M89" s="741"/>
      <c r="N89" s="742">
        <f t="shared" si="87"/>
        <v>0</v>
      </c>
      <c r="O89" s="743">
        <f t="shared" si="87"/>
        <v>0</v>
      </c>
      <c r="P89" s="775"/>
      <c r="Q89" s="775"/>
      <c r="S89" s="765"/>
    </row>
    <row r="90" spans="1:19" ht="20.100000000000001" customHeight="1">
      <c r="A90" s="1536" t="s">
        <v>893</v>
      </c>
      <c r="B90" s="1537"/>
      <c r="C90" s="744">
        <f>SUM(C84:C88)</f>
        <v>0</v>
      </c>
      <c r="D90" s="745">
        <f>SUM(D84:D88)</f>
        <v>0</v>
      </c>
      <c r="E90" s="746">
        <f>C90+D90</f>
        <v>0</v>
      </c>
      <c r="F90" s="744">
        <f>SUM(F84:F88)</f>
        <v>0</v>
      </c>
      <c r="G90" s="745">
        <f>SUM(G84:G88)</f>
        <v>0</v>
      </c>
      <c r="H90" s="746">
        <f>F90+G90</f>
        <v>0</v>
      </c>
      <c r="I90" s="744">
        <f>SUM(I84:I88)</f>
        <v>0</v>
      </c>
      <c r="J90" s="745">
        <f>SUM(J84:J88)</f>
        <v>0</v>
      </c>
      <c r="K90" s="746">
        <f>I90+J90</f>
        <v>0</v>
      </c>
      <c r="L90" s="744">
        <f>SUM(L84:L88)</f>
        <v>0</v>
      </c>
      <c r="M90" s="745">
        <f>SUM(M84:M88)</f>
        <v>0</v>
      </c>
      <c r="N90" s="746">
        <f>L90+M90</f>
        <v>0</v>
      </c>
      <c r="O90" s="747">
        <f>E90+H90+K90+N90</f>
        <v>0</v>
      </c>
      <c r="P90" s="776"/>
      <c r="Q90" s="776"/>
    </row>
    <row r="91" spans="1:19" ht="20.100000000000001" customHeight="1">
      <c r="A91" s="1534" t="s">
        <v>150</v>
      </c>
      <c r="B91" s="1535"/>
      <c r="C91" s="748"/>
      <c r="D91" s="748"/>
      <c r="E91" s="749"/>
      <c r="F91" s="748"/>
      <c r="G91" s="748"/>
      <c r="H91" s="749"/>
      <c r="I91" s="748"/>
      <c r="J91" s="748"/>
      <c r="K91" s="749"/>
      <c r="L91" s="748"/>
      <c r="M91" s="748"/>
      <c r="N91" s="749"/>
      <c r="O91" s="748"/>
      <c r="P91" s="773"/>
      <c r="Q91" s="773"/>
    </row>
    <row r="92" spans="1:19" s="8" customFormat="1" ht="20.100000000000001" customHeight="1">
      <c r="A92" s="731">
        <v>1</v>
      </c>
      <c r="B92" s="732"/>
      <c r="C92" s="733"/>
      <c r="D92" s="733"/>
      <c r="E92" s="734">
        <f>C92+D92</f>
        <v>0</v>
      </c>
      <c r="F92" s="733"/>
      <c r="G92" s="733"/>
      <c r="H92" s="734">
        <f>F92+G92</f>
        <v>0</v>
      </c>
      <c r="I92" s="733"/>
      <c r="J92" s="733"/>
      <c r="K92" s="734">
        <f>I92+J92</f>
        <v>0</v>
      </c>
      <c r="L92" s="733"/>
      <c r="M92" s="733"/>
      <c r="N92" s="734">
        <f>L92+M92</f>
        <v>0</v>
      </c>
      <c r="O92" s="735">
        <f>M92+N92</f>
        <v>0</v>
      </c>
      <c r="P92" s="775"/>
      <c r="Q92" s="775"/>
      <c r="S92" s="765"/>
    </row>
    <row r="93" spans="1:19" s="8" customFormat="1" ht="20.100000000000001" customHeight="1">
      <c r="A93" s="736">
        <v>2</v>
      </c>
      <c r="B93" s="752"/>
      <c r="C93" s="737"/>
      <c r="D93" s="737"/>
      <c r="E93" s="738">
        <f>C93+D93</f>
        <v>0</v>
      </c>
      <c r="F93" s="737"/>
      <c r="G93" s="737"/>
      <c r="H93" s="738">
        <f>F93+G93</f>
        <v>0</v>
      </c>
      <c r="I93" s="737"/>
      <c r="J93" s="737"/>
      <c r="K93" s="738">
        <f>I93+J93</f>
        <v>0</v>
      </c>
      <c r="L93" s="737"/>
      <c r="M93" s="737"/>
      <c r="N93" s="738">
        <f>L93+M93</f>
        <v>0</v>
      </c>
      <c r="O93" s="739">
        <f>M93+N93</f>
        <v>0</v>
      </c>
      <c r="P93" s="775"/>
      <c r="Q93" s="775"/>
      <c r="S93" s="765"/>
    </row>
    <row r="94" spans="1:19" s="8" customFormat="1" ht="20.100000000000001" customHeight="1">
      <c r="A94" s="736">
        <v>3</v>
      </c>
      <c r="B94" s="752"/>
      <c r="C94" s="737"/>
      <c r="D94" s="737"/>
      <c r="E94" s="738">
        <f t="shared" ref="E94:E97" si="88">C94+D94</f>
        <v>0</v>
      </c>
      <c r="F94" s="737"/>
      <c r="G94" s="737"/>
      <c r="H94" s="738">
        <f t="shared" ref="H94:H97" si="89">F94+G94</f>
        <v>0</v>
      </c>
      <c r="I94" s="737"/>
      <c r="J94" s="737"/>
      <c r="K94" s="738">
        <f t="shared" ref="K94:K97" si="90">I94+J94</f>
        <v>0</v>
      </c>
      <c r="L94" s="737"/>
      <c r="M94" s="737"/>
      <c r="N94" s="738">
        <f t="shared" ref="N94:O97" si="91">L94+M94</f>
        <v>0</v>
      </c>
      <c r="O94" s="739">
        <f t="shared" si="91"/>
        <v>0</v>
      </c>
      <c r="P94" s="775"/>
      <c r="Q94" s="775"/>
      <c r="S94" s="765"/>
    </row>
    <row r="95" spans="1:19" s="8" customFormat="1" ht="20.100000000000001" customHeight="1">
      <c r="A95" s="736">
        <v>4</v>
      </c>
      <c r="B95" s="752"/>
      <c r="C95" s="737"/>
      <c r="D95" s="737"/>
      <c r="E95" s="738">
        <f t="shared" si="88"/>
        <v>0</v>
      </c>
      <c r="F95" s="737"/>
      <c r="G95" s="737"/>
      <c r="H95" s="738">
        <f t="shared" si="89"/>
        <v>0</v>
      </c>
      <c r="I95" s="737"/>
      <c r="J95" s="737"/>
      <c r="K95" s="738">
        <f t="shared" si="90"/>
        <v>0</v>
      </c>
      <c r="L95" s="737"/>
      <c r="M95" s="737"/>
      <c r="N95" s="738">
        <f t="shared" si="91"/>
        <v>0</v>
      </c>
      <c r="O95" s="739">
        <f t="shared" si="91"/>
        <v>0</v>
      </c>
      <c r="P95" s="775"/>
      <c r="Q95" s="775"/>
      <c r="S95" s="765"/>
    </row>
    <row r="96" spans="1:19" s="8" customFormat="1" ht="20.100000000000001" customHeight="1">
      <c r="A96" s="736">
        <v>5</v>
      </c>
      <c r="B96" s="752"/>
      <c r="C96" s="737"/>
      <c r="D96" s="737"/>
      <c r="E96" s="738">
        <f t="shared" si="88"/>
        <v>0</v>
      </c>
      <c r="F96" s="737"/>
      <c r="G96" s="737"/>
      <c r="H96" s="738">
        <f t="shared" si="89"/>
        <v>0</v>
      </c>
      <c r="I96" s="737"/>
      <c r="J96" s="737"/>
      <c r="K96" s="738">
        <f t="shared" si="90"/>
        <v>0</v>
      </c>
      <c r="L96" s="737"/>
      <c r="M96" s="737"/>
      <c r="N96" s="738">
        <f t="shared" si="91"/>
        <v>0</v>
      </c>
      <c r="O96" s="739">
        <f t="shared" si="91"/>
        <v>0</v>
      </c>
      <c r="P96" s="775"/>
      <c r="Q96" s="775"/>
      <c r="S96" s="765"/>
    </row>
    <row r="97" spans="1:19" s="8" customFormat="1" ht="20.100000000000001" customHeight="1">
      <c r="A97" s="740">
        <v>6</v>
      </c>
      <c r="B97" s="753"/>
      <c r="C97" s="741"/>
      <c r="D97" s="741"/>
      <c r="E97" s="742">
        <f t="shared" si="88"/>
        <v>0</v>
      </c>
      <c r="F97" s="741"/>
      <c r="G97" s="741"/>
      <c r="H97" s="742">
        <f t="shared" si="89"/>
        <v>0</v>
      </c>
      <c r="I97" s="741"/>
      <c r="J97" s="741"/>
      <c r="K97" s="742">
        <f t="shared" si="90"/>
        <v>0</v>
      </c>
      <c r="L97" s="741"/>
      <c r="M97" s="741"/>
      <c r="N97" s="742">
        <f t="shared" si="91"/>
        <v>0</v>
      </c>
      <c r="O97" s="743">
        <f t="shared" si="91"/>
        <v>0</v>
      </c>
      <c r="P97" s="775"/>
      <c r="Q97" s="775"/>
      <c r="S97" s="765"/>
    </row>
    <row r="98" spans="1:19" ht="20.100000000000001" customHeight="1">
      <c r="A98" s="1536" t="s">
        <v>893</v>
      </c>
      <c r="B98" s="1537"/>
      <c r="C98" s="744">
        <f>SUM(C92:C96)</f>
        <v>0</v>
      </c>
      <c r="D98" s="745">
        <f>SUM(D92:D96)</f>
        <v>0</v>
      </c>
      <c r="E98" s="746">
        <f>C98+D98</f>
        <v>0</v>
      </c>
      <c r="F98" s="744">
        <f>SUM(F92:F96)</f>
        <v>0</v>
      </c>
      <c r="G98" s="745">
        <f>SUM(G92:G96)</f>
        <v>0</v>
      </c>
      <c r="H98" s="746">
        <f>F98+G98</f>
        <v>0</v>
      </c>
      <c r="I98" s="744">
        <f>SUM(I92:I96)</f>
        <v>0</v>
      </c>
      <c r="J98" s="745">
        <f>SUM(J92:J96)</f>
        <v>0</v>
      </c>
      <c r="K98" s="746">
        <f>I98+J98</f>
        <v>0</v>
      </c>
      <c r="L98" s="744">
        <f>SUM(L92:L96)</f>
        <v>0</v>
      </c>
      <c r="M98" s="745">
        <f>SUM(M92:M96)</f>
        <v>0</v>
      </c>
      <c r="N98" s="746">
        <f>L98+M98</f>
        <v>0</v>
      </c>
      <c r="O98" s="747">
        <f>E98+H98+K98+N98</f>
        <v>0</v>
      </c>
      <c r="P98" s="776"/>
      <c r="Q98" s="776"/>
    </row>
    <row r="99" spans="1:19" ht="20.100000000000001" customHeight="1">
      <c r="A99" s="1534" t="s">
        <v>151</v>
      </c>
      <c r="B99" s="1535"/>
      <c r="C99" s="748"/>
      <c r="D99" s="748"/>
      <c r="E99" s="749"/>
      <c r="F99" s="748"/>
      <c r="G99" s="748"/>
      <c r="H99" s="749"/>
      <c r="I99" s="748"/>
      <c r="J99" s="748"/>
      <c r="K99" s="749"/>
      <c r="L99" s="748"/>
      <c r="M99" s="748"/>
      <c r="N99" s="749"/>
      <c r="O99" s="748"/>
      <c r="P99" s="773"/>
      <c r="Q99" s="773"/>
    </row>
    <row r="100" spans="1:19" s="8" customFormat="1" ht="20.100000000000001" customHeight="1">
      <c r="A100" s="731">
        <v>1</v>
      </c>
      <c r="B100" s="732"/>
      <c r="C100" s="733"/>
      <c r="D100" s="733"/>
      <c r="E100" s="734">
        <f>C100+D100</f>
        <v>0</v>
      </c>
      <c r="F100" s="733"/>
      <c r="G100" s="733"/>
      <c r="H100" s="734">
        <f>F100+G100</f>
        <v>0</v>
      </c>
      <c r="I100" s="733"/>
      <c r="J100" s="733"/>
      <c r="K100" s="734">
        <f>I100+J100</f>
        <v>0</v>
      </c>
      <c r="L100" s="733"/>
      <c r="M100" s="733"/>
      <c r="N100" s="734">
        <f>L100+M100</f>
        <v>0</v>
      </c>
      <c r="O100" s="735">
        <f>M100+N100</f>
        <v>0</v>
      </c>
      <c r="P100" s="775"/>
      <c r="Q100" s="775"/>
      <c r="S100" s="765"/>
    </row>
    <row r="101" spans="1:19" s="8" customFormat="1" ht="20.100000000000001" customHeight="1">
      <c r="A101" s="736">
        <v>2</v>
      </c>
      <c r="B101" s="752"/>
      <c r="C101" s="737"/>
      <c r="D101" s="737"/>
      <c r="E101" s="738">
        <f>C101+D101</f>
        <v>0</v>
      </c>
      <c r="F101" s="737"/>
      <c r="G101" s="737"/>
      <c r="H101" s="738">
        <f>F101+G101</f>
        <v>0</v>
      </c>
      <c r="I101" s="737"/>
      <c r="J101" s="737"/>
      <c r="K101" s="738">
        <f>I101+J101</f>
        <v>0</v>
      </c>
      <c r="L101" s="737"/>
      <c r="M101" s="737"/>
      <c r="N101" s="738">
        <f>L101+M101</f>
        <v>0</v>
      </c>
      <c r="O101" s="739">
        <f>M101+N101</f>
        <v>0</v>
      </c>
      <c r="P101" s="775"/>
      <c r="Q101" s="775"/>
      <c r="S101" s="765"/>
    </row>
    <row r="102" spans="1:19" s="8" customFormat="1" ht="20.100000000000001" customHeight="1">
      <c r="A102" s="736">
        <v>3</v>
      </c>
      <c r="B102" s="752"/>
      <c r="C102" s="737"/>
      <c r="D102" s="737"/>
      <c r="E102" s="738">
        <f t="shared" ref="E102:E105" si="92">C102+D102</f>
        <v>0</v>
      </c>
      <c r="F102" s="737"/>
      <c r="G102" s="737"/>
      <c r="H102" s="738">
        <f t="shared" ref="H102:H105" si="93">F102+G102</f>
        <v>0</v>
      </c>
      <c r="I102" s="737"/>
      <c r="J102" s="737"/>
      <c r="K102" s="738">
        <f t="shared" ref="K102:K105" si="94">I102+J102</f>
        <v>0</v>
      </c>
      <c r="L102" s="737"/>
      <c r="M102" s="737"/>
      <c r="N102" s="738">
        <f t="shared" ref="N102:O105" si="95">L102+M102</f>
        <v>0</v>
      </c>
      <c r="O102" s="739">
        <f t="shared" si="95"/>
        <v>0</v>
      </c>
      <c r="P102" s="775"/>
      <c r="Q102" s="775"/>
      <c r="S102" s="765"/>
    </row>
    <row r="103" spans="1:19" s="8" customFormat="1" ht="20.100000000000001" customHeight="1">
      <c r="A103" s="736">
        <v>4</v>
      </c>
      <c r="B103" s="752"/>
      <c r="C103" s="737"/>
      <c r="D103" s="737"/>
      <c r="E103" s="738">
        <f t="shared" si="92"/>
        <v>0</v>
      </c>
      <c r="F103" s="737"/>
      <c r="G103" s="737"/>
      <c r="H103" s="738">
        <f t="shared" si="93"/>
        <v>0</v>
      </c>
      <c r="I103" s="737"/>
      <c r="J103" s="737"/>
      <c r="K103" s="738">
        <f t="shared" si="94"/>
        <v>0</v>
      </c>
      <c r="L103" s="737"/>
      <c r="M103" s="737"/>
      <c r="N103" s="738">
        <f t="shared" si="95"/>
        <v>0</v>
      </c>
      <c r="O103" s="739">
        <f t="shared" si="95"/>
        <v>0</v>
      </c>
      <c r="P103" s="775"/>
      <c r="Q103" s="775"/>
      <c r="S103" s="765"/>
    </row>
    <row r="104" spans="1:19" s="8" customFormat="1" ht="20.100000000000001" customHeight="1">
      <c r="A104" s="736">
        <v>5</v>
      </c>
      <c r="B104" s="752"/>
      <c r="C104" s="737"/>
      <c r="D104" s="737"/>
      <c r="E104" s="738">
        <f t="shared" si="92"/>
        <v>0</v>
      </c>
      <c r="F104" s="737"/>
      <c r="G104" s="737"/>
      <c r="H104" s="738">
        <f t="shared" si="93"/>
        <v>0</v>
      </c>
      <c r="I104" s="737"/>
      <c r="J104" s="737"/>
      <c r="K104" s="738">
        <f t="shared" si="94"/>
        <v>0</v>
      </c>
      <c r="L104" s="737"/>
      <c r="M104" s="737"/>
      <c r="N104" s="738">
        <f t="shared" si="95"/>
        <v>0</v>
      </c>
      <c r="O104" s="739">
        <f t="shared" si="95"/>
        <v>0</v>
      </c>
      <c r="P104" s="775"/>
      <c r="Q104" s="775"/>
      <c r="S104" s="765"/>
    </row>
    <row r="105" spans="1:19" s="8" customFormat="1" ht="20.100000000000001" customHeight="1">
      <c r="A105" s="740">
        <v>6</v>
      </c>
      <c r="B105" s="753"/>
      <c r="C105" s="741"/>
      <c r="D105" s="741"/>
      <c r="E105" s="742">
        <f t="shared" si="92"/>
        <v>0</v>
      </c>
      <c r="F105" s="741"/>
      <c r="G105" s="741"/>
      <c r="H105" s="742">
        <f t="shared" si="93"/>
        <v>0</v>
      </c>
      <c r="I105" s="741"/>
      <c r="J105" s="741"/>
      <c r="K105" s="742">
        <f t="shared" si="94"/>
        <v>0</v>
      </c>
      <c r="L105" s="741"/>
      <c r="M105" s="741"/>
      <c r="N105" s="742">
        <f t="shared" si="95"/>
        <v>0</v>
      </c>
      <c r="O105" s="743">
        <f t="shared" si="95"/>
        <v>0</v>
      </c>
      <c r="P105" s="775"/>
      <c r="Q105" s="775"/>
      <c r="S105" s="765"/>
    </row>
    <row r="106" spans="1:19" ht="20.100000000000001" customHeight="1">
      <c r="A106" s="1536" t="s">
        <v>893</v>
      </c>
      <c r="B106" s="1537"/>
      <c r="C106" s="744">
        <f>SUM(C100:C104)</f>
        <v>0</v>
      </c>
      <c r="D106" s="745">
        <f>SUM(D100:D104)</f>
        <v>0</v>
      </c>
      <c r="E106" s="746">
        <f>C106+D106</f>
        <v>0</v>
      </c>
      <c r="F106" s="744">
        <f>SUM(F100:F104)</f>
        <v>0</v>
      </c>
      <c r="G106" s="745">
        <f>SUM(G100:G104)</f>
        <v>0</v>
      </c>
      <c r="H106" s="746">
        <f>F106+G106</f>
        <v>0</v>
      </c>
      <c r="I106" s="744">
        <f>SUM(I100:I104)</f>
        <v>0</v>
      </c>
      <c r="J106" s="745">
        <f>SUM(J100:J104)</f>
        <v>0</v>
      </c>
      <c r="K106" s="746">
        <f>I106+J106</f>
        <v>0</v>
      </c>
      <c r="L106" s="744">
        <f>SUM(L100:L104)</f>
        <v>0</v>
      </c>
      <c r="M106" s="745">
        <f>SUM(M100:M104)</f>
        <v>0</v>
      </c>
      <c r="N106" s="746">
        <f>L106+M106</f>
        <v>0</v>
      </c>
      <c r="O106" s="754">
        <f>E106+H106+K106+N106</f>
        <v>0</v>
      </c>
      <c r="P106" s="776"/>
      <c r="Q106" s="776"/>
    </row>
    <row r="107" spans="1:19" ht="20.100000000000001" customHeight="1">
      <c r="A107" s="1516" t="s">
        <v>980</v>
      </c>
      <c r="B107" s="1516"/>
      <c r="C107" s="344">
        <f>C16+C33+C42+C50+C64+C82+C90+C98+C106+C71</f>
        <v>278.5976</v>
      </c>
      <c r="D107" s="344">
        <f t="shared" ref="D107:O107" si="96">D16+D33+D42+D50+D64+D82+D90+D98+D106</f>
        <v>0</v>
      </c>
      <c r="E107" s="344">
        <f t="shared" si="96"/>
        <v>223.30620000000002</v>
      </c>
      <c r="F107" s="344">
        <f t="shared" si="96"/>
        <v>113.0296</v>
      </c>
      <c r="G107" s="344">
        <f t="shared" si="96"/>
        <v>103.213475</v>
      </c>
      <c r="H107" s="344">
        <f t="shared" si="96"/>
        <v>216.243075</v>
      </c>
      <c r="I107" s="344">
        <f t="shared" si="96"/>
        <v>123.46280000000002</v>
      </c>
      <c r="J107" s="344">
        <f t="shared" si="96"/>
        <v>0</v>
      </c>
      <c r="K107" s="344">
        <f t="shared" si="96"/>
        <v>123.46280000000002</v>
      </c>
      <c r="L107" s="344">
        <f t="shared" si="96"/>
        <v>71.668000000000006</v>
      </c>
      <c r="M107" s="344">
        <f t="shared" si="96"/>
        <v>0</v>
      </c>
      <c r="N107" s="344">
        <f t="shared" si="96"/>
        <v>71.668000000000006</v>
      </c>
      <c r="O107" s="344">
        <f t="shared" si="96"/>
        <v>634.68007499999999</v>
      </c>
      <c r="P107" s="777"/>
      <c r="Q107" s="777"/>
    </row>
    <row r="108" spans="1:19" ht="48" customHeight="1">
      <c r="A108" s="1533" t="s">
        <v>1107</v>
      </c>
      <c r="B108" s="1533"/>
      <c r="C108" s="1533"/>
      <c r="D108" s="1533"/>
      <c r="E108" s="1533"/>
      <c r="F108" s="1533"/>
      <c r="G108" s="1533"/>
      <c r="H108" s="1533"/>
      <c r="I108" s="1533"/>
      <c r="J108" s="1533"/>
      <c r="K108" s="1533"/>
      <c r="L108" s="1533"/>
      <c r="M108" s="1533"/>
      <c r="N108" s="1533"/>
      <c r="O108" s="1533"/>
      <c r="P108" s="728"/>
      <c r="Q108" s="728"/>
    </row>
    <row r="109" spans="1:19" ht="12.75">
      <c r="B109" s="1407"/>
      <c r="C109" s="1407"/>
      <c r="D109" s="1407"/>
      <c r="E109" s="1407"/>
      <c r="F109" s="1407"/>
      <c r="G109" s="1407"/>
      <c r="H109" s="1407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9" ht="15.75">
      <c r="A110" s="183" t="s">
        <v>867</v>
      </c>
      <c r="B110" s="184"/>
      <c r="C110" s="1529"/>
      <c r="D110" s="1529"/>
      <c r="E110" s="1529"/>
      <c r="F110" s="1529"/>
      <c r="G110" s="1529"/>
      <c r="H110" s="1529"/>
      <c r="I110" s="1529"/>
      <c r="J110" s="1529"/>
      <c r="K110" s="1529"/>
      <c r="L110" s="1529"/>
      <c r="M110" s="1529"/>
      <c r="N110" s="1529"/>
      <c r="O110" s="1529"/>
      <c r="P110" s="769"/>
      <c r="Q110" s="769"/>
    </row>
    <row r="111" spans="1:19">
      <c r="B111" s="228"/>
      <c r="C111" s="20"/>
      <c r="D111" s="20"/>
      <c r="E111" s="20"/>
      <c r="F111" s="20"/>
      <c r="G111" s="20"/>
      <c r="H111" s="2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9" ht="12.75">
      <c r="A112" s="1517" t="s">
        <v>878</v>
      </c>
      <c r="B112" s="1517"/>
      <c r="C112" s="1497" t="s">
        <v>1106</v>
      </c>
      <c r="D112" s="1498"/>
      <c r="E112" s="1498"/>
      <c r="F112" s="1498"/>
      <c r="G112" s="1498"/>
      <c r="H112" s="1498"/>
      <c r="I112" s="1499"/>
      <c r="J112" s="1499"/>
      <c r="K112" s="1499"/>
      <c r="L112" s="1499"/>
      <c r="M112" s="1499"/>
      <c r="N112" s="1499"/>
      <c r="O112" s="1500"/>
      <c r="P112" s="770"/>
      <c r="Q112" s="770"/>
    </row>
    <row r="113" spans="1:17" ht="12.75">
      <c r="A113" s="1517"/>
      <c r="B113" s="1517"/>
      <c r="C113" s="1501" t="s">
        <v>154</v>
      </c>
      <c r="D113" s="1502" t="s">
        <v>155</v>
      </c>
      <c r="E113" s="1503"/>
      <c r="F113" s="1504" t="s">
        <v>156</v>
      </c>
      <c r="G113" s="1505"/>
      <c r="H113" s="1506"/>
      <c r="I113" s="1507" t="s">
        <v>880</v>
      </c>
      <c r="J113" s="1508"/>
      <c r="K113" s="1509"/>
      <c r="L113" s="1501" t="s">
        <v>136</v>
      </c>
      <c r="M113" s="1502"/>
      <c r="N113" s="1503"/>
      <c r="O113" s="1510" t="s">
        <v>138</v>
      </c>
      <c r="P113" s="771"/>
      <c r="Q113" s="771"/>
    </row>
    <row r="114" spans="1:17" ht="45.75" customHeight="1">
      <c r="A114" s="1517"/>
      <c r="B114" s="1517"/>
      <c r="C114" s="229" t="s">
        <v>882</v>
      </c>
      <c r="D114" s="230" t="s">
        <v>883</v>
      </c>
      <c r="E114" s="24" t="s">
        <v>138</v>
      </c>
      <c r="F114" s="229" t="s">
        <v>882</v>
      </c>
      <c r="G114" s="230" t="s">
        <v>883</v>
      </c>
      <c r="H114" s="24" t="s">
        <v>138</v>
      </c>
      <c r="I114" s="229" t="s">
        <v>882</v>
      </c>
      <c r="J114" s="230" t="s">
        <v>883</v>
      </c>
      <c r="K114" s="24" t="s">
        <v>138</v>
      </c>
      <c r="L114" s="229" t="s">
        <v>882</v>
      </c>
      <c r="M114" s="230" t="s">
        <v>883</v>
      </c>
      <c r="N114" s="24" t="s">
        <v>138</v>
      </c>
      <c r="O114" s="1511"/>
      <c r="P114" s="771"/>
      <c r="Q114" s="771"/>
    </row>
    <row r="115" spans="1:17" ht="15" customHeight="1">
      <c r="A115" s="1518" t="s">
        <v>142</v>
      </c>
      <c r="B115" s="1518"/>
      <c r="C115" s="1519"/>
      <c r="D115" s="1520"/>
      <c r="E115" s="1521"/>
      <c r="F115" s="1522"/>
      <c r="G115" s="1523"/>
      <c r="H115" s="1524"/>
      <c r="I115" s="1519"/>
      <c r="J115" s="1525"/>
      <c r="K115" s="1526"/>
      <c r="L115" s="1519"/>
      <c r="M115" s="1525"/>
      <c r="N115" s="1526"/>
      <c r="O115" s="248"/>
      <c r="P115" s="772"/>
      <c r="Q115" s="772"/>
    </row>
    <row r="116" spans="1:17" ht="18.95" customHeight="1">
      <c r="A116" s="239">
        <v>1</v>
      </c>
      <c r="B116" s="241" t="str">
        <f>+B10</f>
        <v>Archaeology</v>
      </c>
      <c r="C116" s="802"/>
      <c r="D116" s="802"/>
      <c r="E116" s="803">
        <f>C116+D116</f>
        <v>0</v>
      </c>
      <c r="F116" s="802"/>
      <c r="G116" s="802"/>
      <c r="H116" s="803">
        <f>F116+G116</f>
        <v>0</v>
      </c>
      <c r="I116" s="802"/>
      <c r="J116" s="802"/>
      <c r="K116" s="803">
        <f>I116+J116</f>
        <v>0</v>
      </c>
      <c r="L116" s="802"/>
      <c r="M116" s="802"/>
      <c r="N116" s="803">
        <f>L116+M116</f>
        <v>0</v>
      </c>
      <c r="O116" s="757">
        <f t="shared" ref="O116:O121" si="97">+E116+H116+K116+N116</f>
        <v>0</v>
      </c>
      <c r="P116" s="222"/>
      <c r="Q116" s="222"/>
    </row>
    <row r="117" spans="1:17" ht="18.95" customHeight="1">
      <c r="A117" s="240">
        <v>2</v>
      </c>
      <c r="B117" s="241" t="str">
        <f t="shared" ref="B117:B121" si="98">+B11</f>
        <v>Art &amp; Desig</v>
      </c>
      <c r="C117" s="804">
        <f>+'107 (a)'!E121*'107'!J173</f>
        <v>0.126</v>
      </c>
      <c r="D117" s="804"/>
      <c r="E117" s="805">
        <f>C117+D117</f>
        <v>0.126</v>
      </c>
      <c r="F117" s="804"/>
      <c r="G117" s="804"/>
      <c r="H117" s="805">
        <f>F117+G117</f>
        <v>0</v>
      </c>
      <c r="I117" s="804"/>
      <c r="J117" s="804"/>
      <c r="K117" s="805">
        <f>I117+J117</f>
        <v>0</v>
      </c>
      <c r="L117" s="804"/>
      <c r="M117" s="804"/>
      <c r="N117" s="805">
        <f>L117+M117</f>
        <v>0</v>
      </c>
      <c r="O117" s="757">
        <f t="shared" si="97"/>
        <v>0.126</v>
      </c>
      <c r="P117" s="222"/>
      <c r="Q117" s="222"/>
    </row>
    <row r="118" spans="1:17" ht="18.95" customHeight="1">
      <c r="A118" s="240">
        <v>3</v>
      </c>
      <c r="B118" s="241" t="str">
        <f t="shared" si="98"/>
        <v>English</v>
      </c>
      <c r="C118" s="804">
        <f>+'107 (a)'!E122*'107'!J175</f>
        <v>1.98</v>
      </c>
      <c r="D118" s="804"/>
      <c r="E118" s="805">
        <f t="shared" ref="E118:E121" si="99">C118+D118</f>
        <v>1.98</v>
      </c>
      <c r="F118" s="804"/>
      <c r="G118" s="804"/>
      <c r="H118" s="805">
        <f t="shared" ref="H118:H121" si="100">F118+G118</f>
        <v>0</v>
      </c>
      <c r="I118" s="804"/>
      <c r="J118" s="804"/>
      <c r="K118" s="805">
        <f t="shared" ref="K118:K121" si="101">I118+J118</f>
        <v>0</v>
      </c>
      <c r="L118" s="804"/>
      <c r="M118" s="804"/>
      <c r="N118" s="805">
        <f t="shared" ref="N118:N121" si="102">L118+M118</f>
        <v>0</v>
      </c>
      <c r="O118" s="757">
        <f t="shared" si="97"/>
        <v>1.98</v>
      </c>
      <c r="P118" s="222"/>
      <c r="Q118" s="222"/>
    </row>
    <row r="119" spans="1:17" ht="18.95" customHeight="1">
      <c r="A119" s="240">
        <v>4</v>
      </c>
      <c r="B119" s="241" t="str">
        <f t="shared" si="98"/>
        <v>History</v>
      </c>
      <c r="C119" s="804"/>
      <c r="D119" s="804"/>
      <c r="E119" s="805">
        <f t="shared" si="99"/>
        <v>0</v>
      </c>
      <c r="F119" s="804"/>
      <c r="G119" s="804"/>
      <c r="H119" s="805">
        <f t="shared" si="100"/>
        <v>0</v>
      </c>
      <c r="I119" s="804"/>
      <c r="J119" s="804"/>
      <c r="K119" s="805">
        <f t="shared" si="101"/>
        <v>0</v>
      </c>
      <c r="L119" s="804"/>
      <c r="M119" s="804"/>
      <c r="N119" s="805">
        <f t="shared" si="102"/>
        <v>0</v>
      </c>
      <c r="O119" s="757">
        <f t="shared" si="97"/>
        <v>0</v>
      </c>
      <c r="P119" s="222"/>
      <c r="Q119" s="222"/>
    </row>
    <row r="120" spans="1:17" ht="18.95" customHeight="1">
      <c r="A120" s="240">
        <v>5</v>
      </c>
      <c r="B120" s="241" t="str">
        <f t="shared" si="98"/>
        <v>Hotel &amp; Tourism Mang</v>
      </c>
      <c r="C120" s="804"/>
      <c r="D120" s="804"/>
      <c r="E120" s="805">
        <f t="shared" si="99"/>
        <v>0</v>
      </c>
      <c r="F120" s="804"/>
      <c r="G120" s="804"/>
      <c r="H120" s="805">
        <f t="shared" si="100"/>
        <v>0</v>
      </c>
      <c r="I120" s="804"/>
      <c r="J120" s="804"/>
      <c r="K120" s="805">
        <f t="shared" si="101"/>
        <v>0</v>
      </c>
      <c r="L120" s="804"/>
      <c r="M120" s="804"/>
      <c r="N120" s="805">
        <f t="shared" si="102"/>
        <v>0</v>
      </c>
      <c r="O120" s="757">
        <f t="shared" si="97"/>
        <v>0</v>
      </c>
      <c r="P120" s="222"/>
      <c r="Q120" s="222"/>
    </row>
    <row r="121" spans="1:17" ht="18.95" customHeight="1">
      <c r="A121" s="269">
        <v>6</v>
      </c>
      <c r="B121" s="241" t="str">
        <f t="shared" si="98"/>
        <v>Philosophy</v>
      </c>
      <c r="C121" s="806"/>
      <c r="D121" s="806"/>
      <c r="E121" s="807">
        <f t="shared" si="99"/>
        <v>0</v>
      </c>
      <c r="F121" s="806"/>
      <c r="G121" s="806"/>
      <c r="H121" s="807">
        <f t="shared" si="100"/>
        <v>0</v>
      </c>
      <c r="I121" s="806"/>
      <c r="J121" s="806"/>
      <c r="K121" s="807">
        <f t="shared" si="101"/>
        <v>0</v>
      </c>
      <c r="L121" s="806"/>
      <c r="M121" s="806"/>
      <c r="N121" s="807">
        <f t="shared" si="102"/>
        <v>0</v>
      </c>
      <c r="O121" s="757">
        <f t="shared" si="97"/>
        <v>0</v>
      </c>
      <c r="P121" s="222"/>
      <c r="Q121" s="222"/>
    </row>
    <row r="122" spans="1:17" ht="20.100000000000001" customHeight="1">
      <c r="A122" s="1514" t="s">
        <v>893</v>
      </c>
      <c r="B122" s="1515"/>
      <c r="C122" s="819">
        <f>SUM(C116:C121)</f>
        <v>2.1059999999999999</v>
      </c>
      <c r="D122" s="819">
        <f t="shared" ref="D122:N122" si="103">SUM(D116:D121)</f>
        <v>0</v>
      </c>
      <c r="E122" s="819">
        <f t="shared" si="103"/>
        <v>2.1059999999999999</v>
      </c>
      <c r="F122" s="819">
        <f t="shared" si="103"/>
        <v>0</v>
      </c>
      <c r="G122" s="819">
        <f t="shared" si="103"/>
        <v>0</v>
      </c>
      <c r="H122" s="819">
        <f t="shared" si="103"/>
        <v>0</v>
      </c>
      <c r="I122" s="819">
        <f t="shared" si="103"/>
        <v>0</v>
      </c>
      <c r="J122" s="819">
        <f t="shared" si="103"/>
        <v>0</v>
      </c>
      <c r="K122" s="819">
        <f t="shared" si="103"/>
        <v>0</v>
      </c>
      <c r="L122" s="819">
        <f t="shared" si="103"/>
        <v>0</v>
      </c>
      <c r="M122" s="819">
        <f t="shared" si="103"/>
        <v>0</v>
      </c>
      <c r="N122" s="819">
        <f t="shared" si="103"/>
        <v>0</v>
      </c>
      <c r="O122" s="819">
        <f>+E122+H122+K122+N122</f>
        <v>2.1059999999999999</v>
      </c>
      <c r="P122" s="778"/>
      <c r="Q122" s="778"/>
    </row>
    <row r="123" spans="1:17" ht="15" customHeight="1">
      <c r="A123" s="1476" t="s">
        <v>147</v>
      </c>
      <c r="B123" s="1478"/>
      <c r="C123" s="27"/>
      <c r="D123" s="27"/>
      <c r="E123" s="28"/>
      <c r="F123" s="27"/>
      <c r="G123" s="27"/>
      <c r="H123" s="28"/>
      <c r="I123" s="27"/>
      <c r="J123" s="27"/>
      <c r="K123" s="28"/>
      <c r="L123" s="27"/>
      <c r="M123" s="27"/>
      <c r="N123" s="28"/>
      <c r="O123" s="27"/>
      <c r="P123" s="779"/>
      <c r="Q123" s="779"/>
    </row>
    <row r="124" spans="1:17" ht="18.95" customHeight="1">
      <c r="A124" s="239">
        <v>1</v>
      </c>
      <c r="B124" s="241" t="str">
        <f>+B18</f>
        <v>Economics</v>
      </c>
      <c r="C124" s="802">
        <f>+'107 (a)'!E128*'107'!J203</f>
        <v>4.2749999999999995</v>
      </c>
      <c r="D124" s="802"/>
      <c r="E124" s="803">
        <f>C124+D124</f>
        <v>4.2749999999999995</v>
      </c>
      <c r="F124" s="802"/>
      <c r="G124" s="802"/>
      <c r="H124" s="803">
        <f>F124+G124</f>
        <v>0</v>
      </c>
      <c r="I124" s="802"/>
      <c r="J124" s="802"/>
      <c r="K124" s="803">
        <f>I124+J124</f>
        <v>0</v>
      </c>
      <c r="L124" s="802"/>
      <c r="M124" s="802"/>
      <c r="N124" s="803">
        <f>L124+M124</f>
        <v>0</v>
      </c>
      <c r="O124" s="757">
        <f t="shared" ref="O124:O138" si="104">+E124+H124+K124+N124</f>
        <v>4.2749999999999995</v>
      </c>
      <c r="P124" s="222"/>
      <c r="Q124" s="222"/>
    </row>
    <row r="125" spans="1:17" ht="18.95" customHeight="1">
      <c r="A125" s="240">
        <v>2</v>
      </c>
      <c r="B125" s="241" t="str">
        <f t="shared" ref="B125:B138" si="105">+B19</f>
        <v>I.E.R.</v>
      </c>
      <c r="C125" s="804"/>
      <c r="D125" s="804"/>
      <c r="E125" s="805">
        <f>C125+D125</f>
        <v>0</v>
      </c>
      <c r="F125" s="804"/>
      <c r="G125" s="804"/>
      <c r="H125" s="805">
        <f>F125+G125</f>
        <v>0</v>
      </c>
      <c r="I125" s="804"/>
      <c r="J125" s="804"/>
      <c r="K125" s="805">
        <f>I125+J125</f>
        <v>0</v>
      </c>
      <c r="L125" s="804"/>
      <c r="M125" s="804"/>
      <c r="N125" s="805">
        <f>L125+M125</f>
        <v>0</v>
      </c>
      <c r="O125" s="757">
        <f t="shared" si="104"/>
        <v>0</v>
      </c>
      <c r="P125" s="222"/>
      <c r="Q125" s="222"/>
    </row>
    <row r="126" spans="1:17" ht="18.95" customHeight="1">
      <c r="A126" s="240">
        <v>3</v>
      </c>
      <c r="B126" s="241" t="str">
        <f t="shared" si="105"/>
        <v>IPCS</v>
      </c>
      <c r="C126" s="804"/>
      <c r="D126" s="804"/>
      <c r="E126" s="805">
        <f t="shared" ref="E126:E127" si="106">C126+D126</f>
        <v>0</v>
      </c>
      <c r="F126" s="804"/>
      <c r="G126" s="804"/>
      <c r="H126" s="805">
        <f t="shared" ref="H126:H127" si="107">F126+G126</f>
        <v>0</v>
      </c>
      <c r="I126" s="804"/>
      <c r="J126" s="804"/>
      <c r="K126" s="805">
        <f t="shared" ref="K126:K127" si="108">I126+J126</f>
        <v>0</v>
      </c>
      <c r="L126" s="804"/>
      <c r="M126" s="804"/>
      <c r="N126" s="805">
        <f t="shared" ref="N126:N127" si="109">L126+M126</f>
        <v>0</v>
      </c>
      <c r="O126" s="757">
        <f t="shared" si="104"/>
        <v>0</v>
      </c>
      <c r="P126" s="222"/>
      <c r="Q126" s="222"/>
    </row>
    <row r="127" spans="1:17" ht="18.95" customHeight="1">
      <c r="A127" s="240">
        <v>4</v>
      </c>
      <c r="B127" s="241" t="str">
        <f t="shared" si="105"/>
        <v>International Relations</v>
      </c>
      <c r="C127" s="804"/>
      <c r="D127" s="804"/>
      <c r="E127" s="805">
        <f t="shared" si="106"/>
        <v>0</v>
      </c>
      <c r="F127" s="804"/>
      <c r="G127" s="804"/>
      <c r="H127" s="805">
        <f t="shared" si="107"/>
        <v>0</v>
      </c>
      <c r="I127" s="804"/>
      <c r="J127" s="804"/>
      <c r="K127" s="805">
        <f t="shared" si="108"/>
        <v>0</v>
      </c>
      <c r="L127" s="804"/>
      <c r="M127" s="804"/>
      <c r="N127" s="805">
        <f t="shared" si="109"/>
        <v>0</v>
      </c>
      <c r="O127" s="757">
        <f t="shared" si="104"/>
        <v>0</v>
      </c>
      <c r="P127" s="222"/>
      <c r="Q127" s="222"/>
    </row>
    <row r="128" spans="1:17" ht="18.95" customHeight="1">
      <c r="A128" s="240">
        <v>5</v>
      </c>
      <c r="B128" s="241" t="str">
        <f t="shared" si="105"/>
        <v>Gender Studies</v>
      </c>
      <c r="C128" s="804">
        <f>+'107 (a)'!E132*'107'!J207</f>
        <v>0.14000000000000001</v>
      </c>
      <c r="D128" s="804"/>
      <c r="E128" s="805">
        <f t="shared" ref="E128:E138" si="110">C128+D128</f>
        <v>0.14000000000000001</v>
      </c>
      <c r="F128" s="804"/>
      <c r="G128" s="804"/>
      <c r="H128" s="805">
        <f t="shared" ref="H128:H138" si="111">F128+G128</f>
        <v>0</v>
      </c>
      <c r="I128" s="804"/>
      <c r="J128" s="804"/>
      <c r="K128" s="805">
        <f t="shared" ref="K128:K138" si="112">I128+J128</f>
        <v>0</v>
      </c>
      <c r="L128" s="804"/>
      <c r="M128" s="804"/>
      <c r="N128" s="805">
        <f t="shared" ref="N128:N138" si="113">L128+M128</f>
        <v>0</v>
      </c>
      <c r="O128" s="757">
        <f t="shared" si="104"/>
        <v>0.14000000000000001</v>
      </c>
      <c r="P128" s="222"/>
      <c r="Q128" s="222"/>
    </row>
    <row r="129" spans="1:17" ht="18.95" customHeight="1">
      <c r="A129" s="240">
        <v>6</v>
      </c>
      <c r="B129" s="241" t="str">
        <f t="shared" si="105"/>
        <v>Law College</v>
      </c>
      <c r="C129" s="804"/>
      <c r="D129" s="804"/>
      <c r="E129" s="805">
        <f t="shared" si="110"/>
        <v>0</v>
      </c>
      <c r="F129" s="804"/>
      <c r="G129" s="804"/>
      <c r="H129" s="805">
        <f t="shared" si="111"/>
        <v>0</v>
      </c>
      <c r="I129" s="804"/>
      <c r="J129" s="804"/>
      <c r="K129" s="805">
        <f t="shared" si="112"/>
        <v>0</v>
      </c>
      <c r="L129" s="804"/>
      <c r="M129" s="804"/>
      <c r="N129" s="805">
        <f t="shared" si="113"/>
        <v>0</v>
      </c>
      <c r="O129" s="757">
        <f t="shared" si="104"/>
        <v>0</v>
      </c>
      <c r="P129" s="222"/>
      <c r="Q129" s="222"/>
    </row>
    <row r="130" spans="1:17" ht="18.95" customHeight="1">
      <c r="A130" s="240">
        <v>7</v>
      </c>
      <c r="B130" s="241" t="str">
        <f t="shared" si="105"/>
        <v>Political Science</v>
      </c>
      <c r="C130" s="804">
        <f>+'107 (a)'!E134*'107'!J208</f>
        <v>6.8950000000000005</v>
      </c>
      <c r="D130" s="804"/>
      <c r="E130" s="805">
        <f t="shared" si="110"/>
        <v>6.8950000000000005</v>
      </c>
      <c r="F130" s="804">
        <f>+'107 (a)'!H134*'107'!J167</f>
        <v>5.4054000000000002</v>
      </c>
      <c r="G130" s="804"/>
      <c r="H130" s="805">
        <f t="shared" si="111"/>
        <v>5.4054000000000002</v>
      </c>
      <c r="I130" s="804"/>
      <c r="J130" s="804"/>
      <c r="K130" s="805">
        <f t="shared" si="112"/>
        <v>0</v>
      </c>
      <c r="L130" s="804"/>
      <c r="M130" s="804"/>
      <c r="N130" s="805">
        <f t="shared" si="113"/>
        <v>0</v>
      </c>
      <c r="O130" s="757">
        <f t="shared" si="104"/>
        <v>12.3004</v>
      </c>
      <c r="P130" s="222"/>
      <c r="Q130" s="222"/>
    </row>
    <row r="131" spans="1:17" ht="18.95" customHeight="1">
      <c r="A131" s="240">
        <v>8</v>
      </c>
      <c r="B131" s="241" t="str">
        <f t="shared" si="105"/>
        <v>Psychology</v>
      </c>
      <c r="C131" s="804">
        <f>+'107 (a)'!E135*'107'!J209</f>
        <v>2.1700000000000004</v>
      </c>
      <c r="D131" s="804"/>
      <c r="E131" s="805">
        <f t="shared" si="110"/>
        <v>2.1700000000000004</v>
      </c>
      <c r="F131" s="804"/>
      <c r="G131" s="804"/>
      <c r="H131" s="805">
        <f t="shared" si="111"/>
        <v>0</v>
      </c>
      <c r="I131" s="804"/>
      <c r="J131" s="804"/>
      <c r="K131" s="805">
        <f t="shared" si="112"/>
        <v>0</v>
      </c>
      <c r="L131" s="804"/>
      <c r="M131" s="804"/>
      <c r="N131" s="805">
        <f t="shared" si="113"/>
        <v>0</v>
      </c>
      <c r="O131" s="757">
        <f t="shared" si="104"/>
        <v>2.1700000000000004</v>
      </c>
      <c r="P131" s="222"/>
      <c r="Q131" s="222"/>
    </row>
    <row r="132" spans="1:17" ht="18.95" customHeight="1">
      <c r="A132" s="240">
        <v>9</v>
      </c>
      <c r="B132" s="241" t="str">
        <f t="shared" si="105"/>
        <v>Regional Studies</v>
      </c>
      <c r="C132" s="804"/>
      <c r="D132" s="804"/>
      <c r="E132" s="805">
        <f t="shared" si="110"/>
        <v>0</v>
      </c>
      <c r="F132" s="804"/>
      <c r="G132" s="804"/>
      <c r="H132" s="805">
        <f t="shared" si="111"/>
        <v>0</v>
      </c>
      <c r="I132" s="804"/>
      <c r="J132" s="804"/>
      <c r="K132" s="805">
        <f t="shared" si="112"/>
        <v>0</v>
      </c>
      <c r="L132" s="804"/>
      <c r="M132" s="804"/>
      <c r="N132" s="805">
        <f t="shared" si="113"/>
        <v>0</v>
      </c>
      <c r="O132" s="757">
        <f t="shared" si="104"/>
        <v>0</v>
      </c>
      <c r="P132" s="222"/>
      <c r="Q132" s="222"/>
    </row>
    <row r="133" spans="1:17" ht="18.95" customHeight="1">
      <c r="A133" s="240">
        <v>10</v>
      </c>
      <c r="B133" s="241" t="str">
        <f t="shared" si="105"/>
        <v>Social Anthropology</v>
      </c>
      <c r="C133" s="804"/>
      <c r="D133" s="804"/>
      <c r="E133" s="805">
        <f t="shared" si="110"/>
        <v>0</v>
      </c>
      <c r="F133" s="804"/>
      <c r="G133" s="804"/>
      <c r="H133" s="805">
        <f t="shared" si="111"/>
        <v>0</v>
      </c>
      <c r="I133" s="804"/>
      <c r="J133" s="804"/>
      <c r="K133" s="805">
        <f t="shared" si="112"/>
        <v>0</v>
      </c>
      <c r="L133" s="804"/>
      <c r="M133" s="804"/>
      <c r="N133" s="805">
        <f t="shared" si="113"/>
        <v>0</v>
      </c>
      <c r="O133" s="757">
        <f t="shared" si="104"/>
        <v>0</v>
      </c>
      <c r="P133" s="222"/>
      <c r="Q133" s="222"/>
    </row>
    <row r="134" spans="1:17" ht="18.95" customHeight="1">
      <c r="A134" s="240">
        <v>11</v>
      </c>
      <c r="B134" s="241" t="str">
        <f t="shared" si="105"/>
        <v>J.C.W</v>
      </c>
      <c r="C134" s="804"/>
      <c r="D134" s="804"/>
      <c r="E134" s="805">
        <f t="shared" si="110"/>
        <v>0</v>
      </c>
      <c r="F134" s="804"/>
      <c r="G134" s="804"/>
      <c r="H134" s="805">
        <f t="shared" si="111"/>
        <v>0</v>
      </c>
      <c r="I134" s="804"/>
      <c r="J134" s="804"/>
      <c r="K134" s="805">
        <f t="shared" si="112"/>
        <v>0</v>
      </c>
      <c r="L134" s="804"/>
      <c r="M134" s="804"/>
      <c r="N134" s="805">
        <f t="shared" si="113"/>
        <v>0</v>
      </c>
      <c r="O134" s="757">
        <f t="shared" si="104"/>
        <v>0</v>
      </c>
      <c r="P134" s="222"/>
      <c r="Q134" s="222"/>
    </row>
    <row r="135" spans="1:17" ht="18.95" customHeight="1">
      <c r="A135" s="240">
        <v>12</v>
      </c>
      <c r="B135" s="241" t="str">
        <f t="shared" si="105"/>
        <v>Criminology</v>
      </c>
      <c r="C135" s="804"/>
      <c r="D135" s="804"/>
      <c r="E135" s="805">
        <f t="shared" si="110"/>
        <v>0</v>
      </c>
      <c r="F135" s="804"/>
      <c r="G135" s="804"/>
      <c r="H135" s="805">
        <f t="shared" si="111"/>
        <v>0</v>
      </c>
      <c r="I135" s="804"/>
      <c r="J135" s="804"/>
      <c r="K135" s="805">
        <f t="shared" si="112"/>
        <v>0</v>
      </c>
      <c r="L135" s="804"/>
      <c r="M135" s="804"/>
      <c r="N135" s="805">
        <f t="shared" si="113"/>
        <v>0</v>
      </c>
      <c r="O135" s="757">
        <f t="shared" si="104"/>
        <v>0</v>
      </c>
      <c r="P135" s="222"/>
      <c r="Q135" s="222"/>
    </row>
    <row r="136" spans="1:17" ht="18.95" customHeight="1">
      <c r="A136" s="240">
        <v>13</v>
      </c>
      <c r="B136" s="241" t="str">
        <f t="shared" si="105"/>
        <v>Social Work</v>
      </c>
      <c r="C136" s="804">
        <f>+'107 (a)'!E140*'107'!J210</f>
        <v>12.530000000000001</v>
      </c>
      <c r="D136" s="804"/>
      <c r="E136" s="805">
        <f t="shared" si="110"/>
        <v>12.530000000000001</v>
      </c>
      <c r="F136" s="804">
        <f>+'107 (a)'!H140*'107'!J169</f>
        <v>5.3130000000000006</v>
      </c>
      <c r="G136" s="804"/>
      <c r="H136" s="805">
        <f t="shared" si="111"/>
        <v>5.3130000000000006</v>
      </c>
      <c r="I136" s="804"/>
      <c r="J136" s="804"/>
      <c r="K136" s="805">
        <f t="shared" si="112"/>
        <v>0</v>
      </c>
      <c r="L136" s="804"/>
      <c r="M136" s="804"/>
      <c r="N136" s="805">
        <f t="shared" si="113"/>
        <v>0</v>
      </c>
      <c r="O136" s="757">
        <f t="shared" si="104"/>
        <v>17.843000000000004</v>
      </c>
      <c r="P136" s="222"/>
      <c r="Q136" s="222"/>
    </row>
    <row r="137" spans="1:17" ht="18.95" customHeight="1">
      <c r="A137" s="240">
        <v>14</v>
      </c>
      <c r="B137" s="241" t="str">
        <f t="shared" si="105"/>
        <v>Sociology</v>
      </c>
      <c r="C137" s="804">
        <f>+'107 (a)'!E141*'107'!J211</f>
        <v>0.24500000000000002</v>
      </c>
      <c r="D137" s="804"/>
      <c r="E137" s="805">
        <f t="shared" si="110"/>
        <v>0.24500000000000002</v>
      </c>
      <c r="F137" s="804">
        <f>+'107 (a)'!H141*'107'!J170</f>
        <v>0</v>
      </c>
      <c r="G137" s="804"/>
      <c r="H137" s="805">
        <f t="shared" si="111"/>
        <v>0</v>
      </c>
      <c r="I137" s="804"/>
      <c r="J137" s="804"/>
      <c r="K137" s="805">
        <f t="shared" si="112"/>
        <v>0</v>
      </c>
      <c r="L137" s="804"/>
      <c r="M137" s="804"/>
      <c r="N137" s="805">
        <f t="shared" si="113"/>
        <v>0</v>
      </c>
      <c r="O137" s="757">
        <f t="shared" si="104"/>
        <v>0.24500000000000002</v>
      </c>
      <c r="P137" s="222"/>
      <c r="Q137" s="222"/>
    </row>
    <row r="138" spans="1:17" ht="18.95" customHeight="1">
      <c r="A138" s="240">
        <v>15</v>
      </c>
      <c r="B138" s="241" t="str">
        <f t="shared" si="105"/>
        <v>Distance Education</v>
      </c>
      <c r="C138" s="804"/>
      <c r="D138" s="804"/>
      <c r="E138" s="805">
        <f t="shared" si="110"/>
        <v>0</v>
      </c>
      <c r="F138" s="804"/>
      <c r="G138" s="804"/>
      <c r="H138" s="805">
        <f t="shared" si="111"/>
        <v>0</v>
      </c>
      <c r="I138" s="804"/>
      <c r="J138" s="804"/>
      <c r="K138" s="805">
        <f t="shared" si="112"/>
        <v>0</v>
      </c>
      <c r="L138" s="804"/>
      <c r="M138" s="804"/>
      <c r="N138" s="805">
        <f t="shared" si="113"/>
        <v>0</v>
      </c>
      <c r="O138" s="757">
        <f t="shared" si="104"/>
        <v>0</v>
      </c>
      <c r="P138" s="222"/>
      <c r="Q138" s="222"/>
    </row>
    <row r="139" spans="1:17" ht="20.100000000000001" customHeight="1">
      <c r="A139" s="1514" t="s">
        <v>893</v>
      </c>
      <c r="B139" s="1515"/>
      <c r="C139" s="819">
        <f>SUM(C124:C138)</f>
        <v>26.254999999999999</v>
      </c>
      <c r="D139" s="819">
        <f t="shared" ref="D139:N139" si="114">SUM(D124:D138)</f>
        <v>0</v>
      </c>
      <c r="E139" s="819">
        <f t="shared" si="114"/>
        <v>26.254999999999999</v>
      </c>
      <c r="F139" s="819">
        <f t="shared" si="114"/>
        <v>10.718400000000001</v>
      </c>
      <c r="G139" s="819">
        <f t="shared" si="114"/>
        <v>0</v>
      </c>
      <c r="H139" s="819">
        <f t="shared" si="114"/>
        <v>10.718400000000001</v>
      </c>
      <c r="I139" s="819">
        <f t="shared" si="114"/>
        <v>0</v>
      </c>
      <c r="J139" s="819">
        <f t="shared" si="114"/>
        <v>0</v>
      </c>
      <c r="K139" s="819">
        <f t="shared" si="114"/>
        <v>0</v>
      </c>
      <c r="L139" s="819">
        <f t="shared" si="114"/>
        <v>0</v>
      </c>
      <c r="M139" s="819">
        <f t="shared" si="114"/>
        <v>0</v>
      </c>
      <c r="N139" s="819">
        <f t="shared" si="114"/>
        <v>0</v>
      </c>
      <c r="O139" s="819">
        <f>+E139+H139+K139+N139</f>
        <v>36.973399999999998</v>
      </c>
      <c r="P139" s="778"/>
      <c r="Q139" s="778"/>
    </row>
    <row r="140" spans="1:17" ht="15" customHeight="1">
      <c r="A140" s="1476" t="str">
        <f>+A34</f>
        <v>Oriental and Islamc Studies</v>
      </c>
      <c r="B140" s="1478"/>
      <c r="C140" s="808"/>
      <c r="D140" s="808"/>
      <c r="E140" s="809"/>
      <c r="F140" s="808"/>
      <c r="G140" s="808"/>
      <c r="H140" s="809"/>
      <c r="I140" s="808"/>
      <c r="J140" s="808"/>
      <c r="K140" s="809"/>
      <c r="L140" s="808"/>
      <c r="M140" s="808"/>
      <c r="N140" s="809"/>
      <c r="O140" s="808"/>
      <c r="P140" s="779"/>
      <c r="Q140" s="779"/>
    </row>
    <row r="141" spans="1:17" ht="18.95" customHeight="1">
      <c r="A141" s="239">
        <v>1</v>
      </c>
      <c r="B141" s="241" t="str">
        <f>+B35</f>
        <v>Arabic</v>
      </c>
      <c r="C141" s="802"/>
      <c r="D141" s="802"/>
      <c r="E141" s="803">
        <f>C141+D141</f>
        <v>0</v>
      </c>
      <c r="F141" s="802"/>
      <c r="G141" s="802"/>
      <c r="H141" s="803">
        <f>F141+G141</f>
        <v>0</v>
      </c>
      <c r="I141" s="802"/>
      <c r="J141" s="802"/>
      <c r="K141" s="803">
        <f>I141+J141</f>
        <v>0</v>
      </c>
      <c r="L141" s="802"/>
      <c r="M141" s="802"/>
      <c r="N141" s="803">
        <f>L141+M141</f>
        <v>0</v>
      </c>
      <c r="O141" s="757">
        <f t="shared" ref="O141:O147" si="115">+E141+H141+K141+N141</f>
        <v>0</v>
      </c>
      <c r="P141" s="222"/>
      <c r="Q141" s="222"/>
    </row>
    <row r="142" spans="1:17" ht="18.95" customHeight="1">
      <c r="A142" s="239">
        <v>2</v>
      </c>
      <c r="B142" s="241" t="str">
        <f t="shared" ref="B142:B147" si="116">+B36</f>
        <v>Islamiyat</v>
      </c>
      <c r="C142" s="802">
        <f>+'107 (a)'!E145*'107'!J179</f>
        <v>1.2250000000000001</v>
      </c>
      <c r="D142" s="802"/>
      <c r="E142" s="803">
        <f t="shared" ref="E142:E147" si="117">C142+D142</f>
        <v>1.2250000000000001</v>
      </c>
      <c r="F142" s="802">
        <f>+'107 (a)'!H145*'107'!J140</f>
        <v>3.8598999999999997</v>
      </c>
      <c r="G142" s="802"/>
      <c r="H142" s="803">
        <f t="shared" ref="H142:H147" si="118">F142+G142</f>
        <v>3.8598999999999997</v>
      </c>
      <c r="I142" s="802"/>
      <c r="J142" s="802"/>
      <c r="K142" s="803">
        <f t="shared" ref="K142:K147" si="119">I142+J142</f>
        <v>0</v>
      </c>
      <c r="L142" s="802"/>
      <c r="M142" s="802"/>
      <c r="N142" s="803">
        <f t="shared" ref="N142" si="120">L142+M142</f>
        <v>0</v>
      </c>
      <c r="O142" s="757">
        <f t="shared" si="115"/>
        <v>5.0848999999999993</v>
      </c>
      <c r="P142" s="222"/>
      <c r="Q142" s="222"/>
    </row>
    <row r="143" spans="1:17" ht="18.95" customHeight="1">
      <c r="A143" s="239">
        <v>3</v>
      </c>
      <c r="B143" s="241" t="str">
        <f t="shared" si="116"/>
        <v xml:space="preserve">Pashto </v>
      </c>
      <c r="C143" s="802"/>
      <c r="D143" s="802"/>
      <c r="E143" s="803">
        <f t="shared" si="117"/>
        <v>0</v>
      </c>
      <c r="F143" s="802"/>
      <c r="G143" s="802"/>
      <c r="H143" s="803">
        <f t="shared" si="118"/>
        <v>0</v>
      </c>
      <c r="I143" s="802"/>
      <c r="J143" s="802"/>
      <c r="K143" s="803">
        <f t="shared" si="119"/>
        <v>0</v>
      </c>
      <c r="L143" s="802"/>
      <c r="M143" s="802"/>
      <c r="N143" s="803">
        <f t="shared" ref="N143" si="121">L143+M143</f>
        <v>0</v>
      </c>
      <c r="O143" s="757">
        <f t="shared" si="115"/>
        <v>0</v>
      </c>
      <c r="P143" s="222"/>
      <c r="Q143" s="222"/>
    </row>
    <row r="144" spans="1:17" ht="18.95" customHeight="1">
      <c r="A144" s="239">
        <v>4</v>
      </c>
      <c r="B144" s="241" t="str">
        <f t="shared" si="116"/>
        <v>Pashto Academy</v>
      </c>
      <c r="C144" s="802"/>
      <c r="D144" s="802"/>
      <c r="E144" s="803">
        <f t="shared" si="117"/>
        <v>0</v>
      </c>
      <c r="F144" s="802"/>
      <c r="G144" s="802"/>
      <c r="H144" s="803">
        <f t="shared" si="118"/>
        <v>0</v>
      </c>
      <c r="I144" s="802"/>
      <c r="J144" s="802"/>
      <c r="K144" s="803">
        <f t="shared" si="119"/>
        <v>0</v>
      </c>
      <c r="L144" s="802"/>
      <c r="M144" s="802"/>
      <c r="N144" s="803">
        <f t="shared" ref="N144" si="122">L144+M144</f>
        <v>0</v>
      </c>
      <c r="O144" s="757">
        <f t="shared" si="115"/>
        <v>0</v>
      </c>
      <c r="P144" s="222"/>
      <c r="Q144" s="222"/>
    </row>
    <row r="145" spans="1:17" ht="18.95" customHeight="1">
      <c r="A145" s="239">
        <v>5</v>
      </c>
      <c r="B145" s="241" t="str">
        <f t="shared" si="116"/>
        <v>Persian</v>
      </c>
      <c r="C145" s="802"/>
      <c r="D145" s="802"/>
      <c r="E145" s="803">
        <f t="shared" si="117"/>
        <v>0</v>
      </c>
      <c r="F145" s="802"/>
      <c r="G145" s="802"/>
      <c r="H145" s="803">
        <f t="shared" si="118"/>
        <v>0</v>
      </c>
      <c r="I145" s="802"/>
      <c r="J145" s="802"/>
      <c r="K145" s="803">
        <f t="shared" si="119"/>
        <v>0</v>
      </c>
      <c r="L145" s="802"/>
      <c r="M145" s="802"/>
      <c r="N145" s="803">
        <f t="shared" ref="N145" si="123">L145+M145</f>
        <v>0</v>
      </c>
      <c r="O145" s="757">
        <f t="shared" si="115"/>
        <v>0</v>
      </c>
      <c r="P145" s="222"/>
      <c r="Q145" s="222"/>
    </row>
    <row r="146" spans="1:17" ht="18.95" customHeight="1">
      <c r="A146" s="239">
        <v>6</v>
      </c>
      <c r="B146" s="241" t="str">
        <f t="shared" si="116"/>
        <v>Seerat Studies</v>
      </c>
      <c r="C146" s="802"/>
      <c r="D146" s="802"/>
      <c r="E146" s="803">
        <f t="shared" si="117"/>
        <v>0</v>
      </c>
      <c r="F146" s="802"/>
      <c r="G146" s="802"/>
      <c r="H146" s="803">
        <f t="shared" si="118"/>
        <v>0</v>
      </c>
      <c r="I146" s="802"/>
      <c r="J146" s="802"/>
      <c r="K146" s="803">
        <f t="shared" si="119"/>
        <v>0</v>
      </c>
      <c r="L146" s="802"/>
      <c r="M146" s="802"/>
      <c r="N146" s="803">
        <f t="shared" ref="N146" si="124">L146+M146</f>
        <v>0</v>
      </c>
      <c r="O146" s="757">
        <f t="shared" si="115"/>
        <v>0</v>
      </c>
      <c r="P146" s="222"/>
      <c r="Q146" s="222"/>
    </row>
    <row r="147" spans="1:17" ht="18.95" customHeight="1">
      <c r="A147" s="239">
        <v>7</v>
      </c>
      <c r="B147" s="241" t="str">
        <f t="shared" si="116"/>
        <v>Urdu</v>
      </c>
      <c r="C147" s="802"/>
      <c r="D147" s="802"/>
      <c r="E147" s="803">
        <f t="shared" si="117"/>
        <v>0</v>
      </c>
      <c r="F147" s="802"/>
      <c r="G147" s="802"/>
      <c r="H147" s="803">
        <f t="shared" si="118"/>
        <v>0</v>
      </c>
      <c r="I147" s="802"/>
      <c r="J147" s="802"/>
      <c r="K147" s="803">
        <f t="shared" si="119"/>
        <v>0</v>
      </c>
      <c r="L147" s="802"/>
      <c r="M147" s="802"/>
      <c r="N147" s="803">
        <f t="shared" ref="N147" si="125">L147+M147</f>
        <v>0</v>
      </c>
      <c r="O147" s="757">
        <f t="shared" si="115"/>
        <v>0</v>
      </c>
      <c r="P147" s="222"/>
      <c r="Q147" s="222"/>
    </row>
    <row r="148" spans="1:17" ht="20.100000000000001" customHeight="1">
      <c r="A148" s="1514" t="s">
        <v>893</v>
      </c>
      <c r="B148" s="1515"/>
      <c r="C148" s="819">
        <f>SUM(C141:C147)</f>
        <v>1.2250000000000001</v>
      </c>
      <c r="D148" s="819">
        <f t="shared" ref="D148:O148" si="126">SUM(D141:D147)</f>
        <v>0</v>
      </c>
      <c r="E148" s="819">
        <f t="shared" si="126"/>
        <v>1.2250000000000001</v>
      </c>
      <c r="F148" s="819">
        <f t="shared" si="126"/>
        <v>3.8598999999999997</v>
      </c>
      <c r="G148" s="819">
        <f t="shared" si="126"/>
        <v>0</v>
      </c>
      <c r="H148" s="819">
        <f t="shared" si="126"/>
        <v>3.8598999999999997</v>
      </c>
      <c r="I148" s="819">
        <f t="shared" si="126"/>
        <v>0</v>
      </c>
      <c r="J148" s="819">
        <f t="shared" si="126"/>
        <v>0</v>
      </c>
      <c r="K148" s="819">
        <f t="shared" si="126"/>
        <v>0</v>
      </c>
      <c r="L148" s="819">
        <f t="shared" si="126"/>
        <v>0</v>
      </c>
      <c r="M148" s="819">
        <f t="shared" si="126"/>
        <v>0</v>
      </c>
      <c r="N148" s="819">
        <f t="shared" si="126"/>
        <v>0</v>
      </c>
      <c r="O148" s="819">
        <f t="shared" si="126"/>
        <v>5.0848999999999993</v>
      </c>
      <c r="P148" s="778"/>
      <c r="Q148" s="778"/>
    </row>
    <row r="149" spans="1:17" ht="15" customHeight="1">
      <c r="A149" s="1476" t="str">
        <f>+A43</f>
        <v>Num. &amp; Phy. Sciences</v>
      </c>
      <c r="B149" s="1478"/>
      <c r="C149" s="808"/>
      <c r="D149" s="808"/>
      <c r="E149" s="809"/>
      <c r="F149" s="808"/>
      <c r="G149" s="808"/>
      <c r="H149" s="809"/>
      <c r="I149" s="808"/>
      <c r="J149" s="808"/>
      <c r="K149" s="809"/>
      <c r="L149" s="808"/>
      <c r="M149" s="808"/>
      <c r="N149" s="809"/>
      <c r="O149" s="808"/>
      <c r="P149" s="779"/>
      <c r="Q149" s="779"/>
    </row>
    <row r="150" spans="1:17" ht="18.95" customHeight="1">
      <c r="A150" s="239">
        <v>1</v>
      </c>
      <c r="B150" s="241" t="str">
        <f>+B44</f>
        <v>Computer Science</v>
      </c>
      <c r="C150" s="802">
        <f>+'107 (a)'!E153*'107'!J197</f>
        <v>4.0949999999999998</v>
      </c>
      <c r="D150" s="802"/>
      <c r="E150" s="803">
        <f>C150+D150</f>
        <v>4.0949999999999998</v>
      </c>
      <c r="F150" s="802">
        <f>+'107 (a)'!H153*'107'!J156</f>
        <v>4.1502999999999997</v>
      </c>
      <c r="G150" s="802"/>
      <c r="H150" s="803">
        <f>F150+G150</f>
        <v>4.1502999999999997</v>
      </c>
      <c r="I150" s="802"/>
      <c r="J150" s="802"/>
      <c r="K150" s="803">
        <f>I150+J150</f>
        <v>0</v>
      </c>
      <c r="L150" s="802"/>
      <c r="M150" s="802"/>
      <c r="N150" s="803">
        <f>L150+M150</f>
        <v>0</v>
      </c>
      <c r="O150" s="757">
        <f t="shared" ref="O150:O155" si="127">+E150+H150+K150+N150</f>
        <v>8.2453000000000003</v>
      </c>
      <c r="P150" s="222"/>
      <c r="Q150" s="222"/>
    </row>
    <row r="151" spans="1:17" ht="18.95" customHeight="1">
      <c r="A151" s="240">
        <v>2</v>
      </c>
      <c r="B151" s="241" t="str">
        <f t="shared" ref="B151:B155" si="128">+B45</f>
        <v xml:space="preserve">Mathematics </v>
      </c>
      <c r="C151" s="804">
        <f>+'107 (a)'!E154*'107'!J199</f>
        <v>1.44</v>
      </c>
      <c r="D151" s="804"/>
      <c r="E151" s="805">
        <f>C151+D151</f>
        <v>1.44</v>
      </c>
      <c r="F151" s="821">
        <f>+'107 (a)'!H154*'107'!J158</f>
        <v>7.0301</v>
      </c>
      <c r="G151" s="804"/>
      <c r="H151" s="805">
        <f>F151+G151</f>
        <v>7.0301</v>
      </c>
      <c r="I151" s="804"/>
      <c r="J151" s="804"/>
      <c r="K151" s="805">
        <f>I151+J151</f>
        <v>0</v>
      </c>
      <c r="L151" s="804"/>
      <c r="M151" s="804"/>
      <c r="N151" s="805">
        <f>L151+M151</f>
        <v>0</v>
      </c>
      <c r="O151" s="757">
        <f t="shared" si="127"/>
        <v>8.4701000000000004</v>
      </c>
      <c r="P151" s="222"/>
      <c r="Q151" s="222"/>
    </row>
    <row r="152" spans="1:17" ht="18.95" customHeight="1">
      <c r="A152" s="240">
        <v>3</v>
      </c>
      <c r="B152" s="241" t="str">
        <f t="shared" si="128"/>
        <v>Physics</v>
      </c>
      <c r="C152" s="804">
        <f>+'107 (a)'!E155*'107'!J200</f>
        <v>2.25</v>
      </c>
      <c r="D152" s="804"/>
      <c r="E152" s="805">
        <f t="shared" ref="E152:E155" si="129">C152+D152</f>
        <v>2.25</v>
      </c>
      <c r="F152" s="804"/>
      <c r="G152" s="804"/>
      <c r="H152" s="805">
        <f t="shared" ref="H152:H155" si="130">F152+G152</f>
        <v>0</v>
      </c>
      <c r="I152" s="804"/>
      <c r="J152" s="804"/>
      <c r="K152" s="805">
        <f t="shared" ref="K152:K155" si="131">I152+J152</f>
        <v>0</v>
      </c>
      <c r="L152" s="804"/>
      <c r="M152" s="804"/>
      <c r="N152" s="805">
        <f t="shared" ref="N152:N155" si="132">L152+M152</f>
        <v>0</v>
      </c>
      <c r="O152" s="757">
        <f t="shared" si="127"/>
        <v>2.25</v>
      </c>
      <c r="P152" s="222"/>
      <c r="Q152" s="222"/>
    </row>
    <row r="153" spans="1:17" ht="18.95" customHeight="1">
      <c r="A153" s="240">
        <v>4</v>
      </c>
      <c r="B153" s="241" t="str">
        <f t="shared" si="128"/>
        <v>Statistics</v>
      </c>
      <c r="C153" s="804"/>
      <c r="D153" s="804"/>
      <c r="E153" s="805">
        <f t="shared" si="129"/>
        <v>0</v>
      </c>
      <c r="F153" s="804"/>
      <c r="G153" s="804"/>
      <c r="H153" s="805">
        <f t="shared" si="130"/>
        <v>0</v>
      </c>
      <c r="I153" s="804"/>
      <c r="J153" s="804"/>
      <c r="K153" s="805">
        <f t="shared" si="131"/>
        <v>0</v>
      </c>
      <c r="L153" s="804"/>
      <c r="M153" s="804"/>
      <c r="N153" s="805">
        <f t="shared" si="132"/>
        <v>0</v>
      </c>
      <c r="O153" s="757">
        <f t="shared" si="127"/>
        <v>0</v>
      </c>
      <c r="P153" s="222"/>
      <c r="Q153" s="222"/>
    </row>
    <row r="154" spans="1:17" ht="18.95" customHeight="1">
      <c r="A154" s="240">
        <v>5</v>
      </c>
      <c r="B154" s="241" t="str">
        <f t="shared" si="128"/>
        <v>Electronics</v>
      </c>
      <c r="C154" s="804"/>
      <c r="D154" s="804"/>
      <c r="E154" s="805">
        <f t="shared" si="129"/>
        <v>0</v>
      </c>
      <c r="F154" s="804"/>
      <c r="G154" s="804"/>
      <c r="H154" s="805">
        <f t="shared" si="130"/>
        <v>0</v>
      </c>
      <c r="I154" s="804"/>
      <c r="J154" s="804"/>
      <c r="K154" s="805">
        <f t="shared" si="131"/>
        <v>0</v>
      </c>
      <c r="L154" s="804"/>
      <c r="M154" s="804"/>
      <c r="N154" s="805">
        <f t="shared" si="132"/>
        <v>0</v>
      </c>
      <c r="O154" s="757">
        <f t="shared" si="127"/>
        <v>0</v>
      </c>
      <c r="P154" s="222"/>
      <c r="Q154" s="222"/>
    </row>
    <row r="155" spans="1:17" ht="18.95" customHeight="1">
      <c r="A155" s="269">
        <v>6</v>
      </c>
      <c r="B155" s="241">
        <f t="shared" si="128"/>
        <v>0</v>
      </c>
      <c r="C155" s="806"/>
      <c r="D155" s="806"/>
      <c r="E155" s="807">
        <f t="shared" si="129"/>
        <v>0</v>
      </c>
      <c r="F155" s="806"/>
      <c r="G155" s="806"/>
      <c r="H155" s="807">
        <f t="shared" si="130"/>
        <v>0</v>
      </c>
      <c r="I155" s="806"/>
      <c r="J155" s="806"/>
      <c r="K155" s="807">
        <f t="shared" si="131"/>
        <v>0</v>
      </c>
      <c r="L155" s="806"/>
      <c r="M155" s="806"/>
      <c r="N155" s="807">
        <f t="shared" si="132"/>
        <v>0</v>
      </c>
      <c r="O155" s="757">
        <f t="shared" si="127"/>
        <v>0</v>
      </c>
      <c r="P155" s="222"/>
      <c r="Q155" s="222"/>
    </row>
    <row r="156" spans="1:17" ht="20.100000000000001" customHeight="1">
      <c r="A156" s="1512" t="s">
        <v>893</v>
      </c>
      <c r="B156" s="1513"/>
      <c r="C156" s="810">
        <f>SUM(C150:C154)</f>
        <v>7.7850000000000001</v>
      </c>
      <c r="D156" s="811">
        <f>SUM(D150:D154)</f>
        <v>0</v>
      </c>
      <c r="E156" s="812">
        <f>C156+D156</f>
        <v>7.7850000000000001</v>
      </c>
      <c r="F156" s="815">
        <f>SUM(F150:F154)</f>
        <v>11.180399999999999</v>
      </c>
      <c r="G156" s="811">
        <f>SUM(G150:G154)</f>
        <v>0</v>
      </c>
      <c r="H156" s="812">
        <f>F156+G156</f>
        <v>11.180399999999999</v>
      </c>
      <c r="I156" s="810">
        <f>SUM(I150:I154)</f>
        <v>0</v>
      </c>
      <c r="J156" s="811">
        <f>SUM(J150:J154)</f>
        <v>0</v>
      </c>
      <c r="K156" s="812">
        <f>I156+J156</f>
        <v>0</v>
      </c>
      <c r="L156" s="810">
        <f>SUM(L150:L154)</f>
        <v>0</v>
      </c>
      <c r="M156" s="811">
        <f>SUM(M150:M154)</f>
        <v>0</v>
      </c>
      <c r="N156" s="812">
        <f>L156+M156</f>
        <v>0</v>
      </c>
      <c r="O156" s="819">
        <f>+E156+H156+K156+N156</f>
        <v>18.965399999999999</v>
      </c>
      <c r="P156" s="778"/>
      <c r="Q156" s="778"/>
    </row>
    <row r="157" spans="1:17" ht="20.100000000000001" customHeight="1">
      <c r="A157" s="1476" t="s">
        <v>1010</v>
      </c>
      <c r="B157" s="1478"/>
      <c r="C157" s="808"/>
      <c r="D157" s="808"/>
      <c r="E157" s="809"/>
      <c r="F157" s="808"/>
      <c r="G157" s="808"/>
      <c r="H157" s="809"/>
      <c r="I157" s="808"/>
      <c r="J157" s="808"/>
      <c r="K157" s="809"/>
      <c r="L157" s="808"/>
      <c r="M157" s="808"/>
      <c r="N157" s="809"/>
      <c r="O157" s="808"/>
      <c r="P157" s="779"/>
      <c r="Q157" s="779"/>
    </row>
    <row r="158" spans="1:17" ht="18.95" customHeight="1">
      <c r="A158" s="239">
        <v>1</v>
      </c>
      <c r="B158" s="241" t="str">
        <f t="shared" ref="B158:B169" si="133">+B52</f>
        <v>Botany</v>
      </c>
      <c r="C158" s="813"/>
      <c r="D158" s="813"/>
      <c r="E158" s="814">
        <f>C158+D158</f>
        <v>0</v>
      </c>
      <c r="F158" s="813">
        <f>+'107 (a)'!H161*'107'!J143</f>
        <v>8.4699999999999989</v>
      </c>
      <c r="G158" s="813"/>
      <c r="H158" s="814">
        <f>F158+G158</f>
        <v>8.4699999999999989</v>
      </c>
      <c r="I158" s="813"/>
      <c r="J158" s="813"/>
      <c r="K158" s="814">
        <f>I158+J158</f>
        <v>0</v>
      </c>
      <c r="L158" s="813"/>
      <c r="M158" s="813"/>
      <c r="N158" s="814">
        <f>L158+M158</f>
        <v>0</v>
      </c>
      <c r="O158" s="757">
        <f t="shared" ref="O158:O169" si="134">+E158+H158+K158+N158</f>
        <v>8.4699999999999989</v>
      </c>
      <c r="P158" s="222"/>
      <c r="Q158" s="222"/>
    </row>
    <row r="159" spans="1:17" ht="18.95" customHeight="1">
      <c r="A159" s="239">
        <v>2</v>
      </c>
      <c r="B159" s="241" t="str">
        <f t="shared" si="133"/>
        <v xml:space="preserve"> Microbiology</v>
      </c>
      <c r="C159" s="813">
        <f>('107 (a)'!E162+'107 (a)'!E163)+'107'!J182</f>
        <v>223.04499999999999</v>
      </c>
      <c r="D159" s="813"/>
      <c r="E159" s="814">
        <f t="shared" ref="E159:E169" si="135">C159+D159</f>
        <v>223.04499999999999</v>
      </c>
      <c r="F159" s="813"/>
      <c r="G159" s="813"/>
      <c r="H159" s="814">
        <f t="shared" ref="H159:H169" si="136">F159+G159</f>
        <v>0</v>
      </c>
      <c r="I159" s="813"/>
      <c r="J159" s="813"/>
      <c r="K159" s="814">
        <f t="shared" ref="K159:K169" si="137">I159+J159</f>
        <v>0</v>
      </c>
      <c r="L159" s="813"/>
      <c r="M159" s="813"/>
      <c r="N159" s="814">
        <f t="shared" ref="N159" si="138">L159+M159</f>
        <v>0</v>
      </c>
      <c r="O159" s="757">
        <f t="shared" si="134"/>
        <v>223.04499999999999</v>
      </c>
      <c r="P159" s="222"/>
      <c r="Q159" s="222"/>
    </row>
    <row r="160" spans="1:17" ht="18.95" customHeight="1">
      <c r="A160" s="239">
        <v>3</v>
      </c>
      <c r="B160" s="241" t="str">
        <f t="shared" si="133"/>
        <v>Centre of Disaster Preparedness &amp; Management</v>
      </c>
      <c r="C160" s="813"/>
      <c r="D160" s="813"/>
      <c r="E160" s="814">
        <f t="shared" si="135"/>
        <v>0</v>
      </c>
      <c r="F160" s="813"/>
      <c r="G160" s="813"/>
      <c r="H160" s="814">
        <f t="shared" si="136"/>
        <v>0</v>
      </c>
      <c r="I160" s="813"/>
      <c r="J160" s="813"/>
      <c r="K160" s="814">
        <f t="shared" si="137"/>
        <v>0</v>
      </c>
      <c r="L160" s="813"/>
      <c r="M160" s="813"/>
      <c r="N160" s="814">
        <f t="shared" ref="N160" si="139">L160+M160</f>
        <v>0</v>
      </c>
      <c r="O160" s="757">
        <f t="shared" si="134"/>
        <v>0</v>
      </c>
      <c r="P160" s="222"/>
      <c r="Q160" s="222"/>
    </row>
    <row r="161" spans="1:17" ht="18.95" customHeight="1">
      <c r="A161" s="239">
        <v>4</v>
      </c>
      <c r="B161" s="241" t="str">
        <f t="shared" si="133"/>
        <v>Centre of Plant Biodiversity</v>
      </c>
      <c r="C161" s="813">
        <f>+'107 (a)'!E165*'107'!J182</f>
        <v>0.80999999999999994</v>
      </c>
      <c r="D161" s="813"/>
      <c r="E161" s="814">
        <f t="shared" si="135"/>
        <v>0.80999999999999994</v>
      </c>
      <c r="F161" s="813"/>
      <c r="G161" s="813"/>
      <c r="H161" s="814">
        <f t="shared" si="136"/>
        <v>0</v>
      </c>
      <c r="I161" s="813"/>
      <c r="J161" s="813"/>
      <c r="K161" s="814">
        <f t="shared" si="137"/>
        <v>0</v>
      </c>
      <c r="L161" s="813"/>
      <c r="M161" s="813"/>
      <c r="N161" s="814">
        <f t="shared" ref="N161" si="140">L161+M161</f>
        <v>0</v>
      </c>
      <c r="O161" s="757">
        <f t="shared" si="134"/>
        <v>0.80999999999999994</v>
      </c>
      <c r="P161" s="222"/>
      <c r="Q161" s="222"/>
    </row>
    <row r="162" spans="1:17" ht="18.95" customHeight="1">
      <c r="A162" s="239">
        <v>5</v>
      </c>
      <c r="B162" s="241" t="str">
        <f t="shared" si="133"/>
        <v>Environmental science</v>
      </c>
      <c r="C162" s="813"/>
      <c r="D162" s="813"/>
      <c r="E162" s="814">
        <f t="shared" si="135"/>
        <v>0</v>
      </c>
      <c r="F162" s="813"/>
      <c r="G162" s="813"/>
      <c r="H162" s="814">
        <f t="shared" si="136"/>
        <v>0</v>
      </c>
      <c r="I162" s="813"/>
      <c r="J162" s="813"/>
      <c r="K162" s="814">
        <f t="shared" si="137"/>
        <v>0</v>
      </c>
      <c r="L162" s="813"/>
      <c r="M162" s="813"/>
      <c r="N162" s="814">
        <f t="shared" ref="N162" si="141">L162+M162</f>
        <v>0</v>
      </c>
      <c r="O162" s="757">
        <f t="shared" si="134"/>
        <v>0</v>
      </c>
      <c r="P162" s="222"/>
      <c r="Q162" s="222"/>
    </row>
    <row r="163" spans="1:17" ht="18.95" customHeight="1">
      <c r="A163" s="239">
        <v>6</v>
      </c>
      <c r="B163" s="241" t="str">
        <f t="shared" si="133"/>
        <v>Geology</v>
      </c>
      <c r="C163" s="813">
        <f>+'107 (a)'!E167*'107'!J186</f>
        <v>2.52</v>
      </c>
      <c r="D163" s="813"/>
      <c r="E163" s="814">
        <f t="shared" si="135"/>
        <v>2.52</v>
      </c>
      <c r="F163" s="813"/>
      <c r="G163" s="813"/>
      <c r="H163" s="814">
        <f t="shared" si="136"/>
        <v>0</v>
      </c>
      <c r="I163" s="813"/>
      <c r="J163" s="813"/>
      <c r="K163" s="814">
        <f t="shared" si="137"/>
        <v>0</v>
      </c>
      <c r="L163" s="813"/>
      <c r="M163" s="813"/>
      <c r="N163" s="814">
        <f t="shared" ref="N163" si="142">L163+M163</f>
        <v>0</v>
      </c>
      <c r="O163" s="757">
        <f t="shared" si="134"/>
        <v>2.52</v>
      </c>
      <c r="P163" s="222"/>
      <c r="Q163" s="222"/>
    </row>
    <row r="164" spans="1:17" ht="18.95" customHeight="1">
      <c r="A164" s="239">
        <v>7</v>
      </c>
      <c r="B164" s="241" t="str">
        <f t="shared" si="133"/>
        <v>Geography</v>
      </c>
      <c r="C164" s="813"/>
      <c r="D164" s="813"/>
      <c r="E164" s="814">
        <f t="shared" si="135"/>
        <v>0</v>
      </c>
      <c r="F164" s="813"/>
      <c r="G164" s="813"/>
      <c r="H164" s="814">
        <f t="shared" si="136"/>
        <v>0</v>
      </c>
      <c r="I164" s="813"/>
      <c r="J164" s="813"/>
      <c r="K164" s="814">
        <f t="shared" si="137"/>
        <v>0</v>
      </c>
      <c r="L164" s="813"/>
      <c r="M164" s="813"/>
      <c r="N164" s="814">
        <f t="shared" ref="N164" si="143">L164+M164</f>
        <v>0</v>
      </c>
      <c r="O164" s="757">
        <f t="shared" si="134"/>
        <v>0</v>
      </c>
      <c r="P164" s="222"/>
      <c r="Q164" s="222"/>
    </row>
    <row r="165" spans="1:17" ht="18.95" customHeight="1">
      <c r="A165" s="239">
        <v>8</v>
      </c>
      <c r="B165" s="241" t="str">
        <f t="shared" si="133"/>
        <v>Geomatics</v>
      </c>
      <c r="C165" s="813"/>
      <c r="D165" s="813"/>
      <c r="E165" s="814">
        <f t="shared" si="135"/>
        <v>0</v>
      </c>
      <c r="F165" s="813"/>
      <c r="G165" s="813"/>
      <c r="H165" s="814">
        <f t="shared" si="136"/>
        <v>0</v>
      </c>
      <c r="I165" s="813"/>
      <c r="J165" s="813"/>
      <c r="K165" s="814">
        <f t="shared" si="137"/>
        <v>0</v>
      </c>
      <c r="L165" s="813"/>
      <c r="M165" s="813"/>
      <c r="N165" s="814">
        <f t="shared" ref="N165" si="144">L165+M165</f>
        <v>0</v>
      </c>
      <c r="O165" s="757">
        <f t="shared" si="134"/>
        <v>0</v>
      </c>
      <c r="P165" s="222"/>
      <c r="Q165" s="222"/>
    </row>
    <row r="166" spans="1:17" ht="18.95" customHeight="1">
      <c r="A166" s="239">
        <v>9</v>
      </c>
      <c r="B166" s="241" t="str">
        <f t="shared" si="133"/>
        <v>Institute of Chemical Science</v>
      </c>
      <c r="C166" s="813">
        <f>+'107 (a)'!E169*'107'!J183</f>
        <v>4.2299999999999995</v>
      </c>
      <c r="D166" s="813"/>
      <c r="E166" s="814">
        <f t="shared" si="135"/>
        <v>4.2299999999999995</v>
      </c>
      <c r="F166" s="813">
        <f>+'107 (a)'!H169*'107'!J144</f>
        <v>5.4872999999999994</v>
      </c>
      <c r="G166" s="813"/>
      <c r="H166" s="814">
        <f t="shared" si="136"/>
        <v>5.4872999999999994</v>
      </c>
      <c r="I166" s="813"/>
      <c r="J166" s="813"/>
      <c r="K166" s="814">
        <f t="shared" si="137"/>
        <v>0</v>
      </c>
      <c r="L166" s="813"/>
      <c r="M166" s="813"/>
      <c r="N166" s="814">
        <f t="shared" ref="N166" si="145">L166+M166</f>
        <v>0</v>
      </c>
      <c r="O166" s="757">
        <f t="shared" si="134"/>
        <v>9.7172999999999981</v>
      </c>
      <c r="P166" s="222"/>
      <c r="Q166" s="222"/>
    </row>
    <row r="167" spans="1:17" ht="18.95" customHeight="1">
      <c r="A167" s="239">
        <v>10</v>
      </c>
      <c r="B167" s="241" t="str">
        <f t="shared" si="133"/>
        <v>Pharmacy</v>
      </c>
      <c r="C167" s="813">
        <f>+'107 (a)'!E170*'107'!J189</f>
        <v>23.52</v>
      </c>
      <c r="D167" s="813"/>
      <c r="E167" s="814">
        <f t="shared" si="135"/>
        <v>23.52</v>
      </c>
      <c r="F167" s="813"/>
      <c r="G167" s="813"/>
      <c r="H167" s="814">
        <f t="shared" si="136"/>
        <v>0</v>
      </c>
      <c r="I167" s="813"/>
      <c r="J167" s="813"/>
      <c r="K167" s="814">
        <f t="shared" si="137"/>
        <v>0</v>
      </c>
      <c r="L167" s="813"/>
      <c r="M167" s="813"/>
      <c r="N167" s="814">
        <f t="shared" ref="N167" si="146">L167+M167</f>
        <v>0</v>
      </c>
      <c r="O167" s="757">
        <f t="shared" si="134"/>
        <v>23.52</v>
      </c>
      <c r="P167" s="222"/>
      <c r="Q167" s="222"/>
    </row>
    <row r="168" spans="1:17" ht="18.95" customHeight="1">
      <c r="A168" s="239">
        <v>11</v>
      </c>
      <c r="B168" s="241" t="str">
        <f t="shared" si="133"/>
        <v>Urban &amp; Regional Planning</v>
      </c>
      <c r="C168" s="813">
        <f>+'107 (a)'!E171*'107'!J190</f>
        <v>0.09</v>
      </c>
      <c r="D168" s="813"/>
      <c r="E168" s="814">
        <f t="shared" si="135"/>
        <v>0.09</v>
      </c>
      <c r="F168" s="813"/>
      <c r="G168" s="813"/>
      <c r="H168" s="814">
        <f t="shared" si="136"/>
        <v>0</v>
      </c>
      <c r="I168" s="813"/>
      <c r="J168" s="813"/>
      <c r="K168" s="814">
        <f t="shared" si="137"/>
        <v>0</v>
      </c>
      <c r="L168" s="813"/>
      <c r="M168" s="813"/>
      <c r="N168" s="814">
        <f t="shared" ref="N168" si="147">L168+M168</f>
        <v>0</v>
      </c>
      <c r="O168" s="757">
        <f t="shared" si="134"/>
        <v>0.09</v>
      </c>
      <c r="P168" s="222"/>
      <c r="Q168" s="222"/>
    </row>
    <row r="169" spans="1:17" ht="18.95" customHeight="1">
      <c r="A169" s="239">
        <v>12</v>
      </c>
      <c r="B169" s="241" t="str">
        <f t="shared" si="133"/>
        <v>Zoology</v>
      </c>
      <c r="C169" s="813">
        <f>+'107 (a)'!E173*'107'!J191</f>
        <v>3.42</v>
      </c>
      <c r="D169" s="813"/>
      <c r="E169" s="814">
        <f t="shared" si="135"/>
        <v>3.42</v>
      </c>
      <c r="F169" s="813">
        <f>+'107 (a)'!H174*'107'!J149</f>
        <v>16.770599999999998</v>
      </c>
      <c r="G169" s="813"/>
      <c r="H169" s="814">
        <f t="shared" si="136"/>
        <v>16.770599999999998</v>
      </c>
      <c r="I169" s="813"/>
      <c r="J169" s="813"/>
      <c r="K169" s="814">
        <f t="shared" si="137"/>
        <v>0</v>
      </c>
      <c r="L169" s="813"/>
      <c r="M169" s="813"/>
      <c r="N169" s="814">
        <f t="shared" ref="N169" si="148">L169+M169</f>
        <v>0</v>
      </c>
      <c r="O169" s="757">
        <f t="shared" si="134"/>
        <v>20.190599999999996</v>
      </c>
      <c r="P169" s="222"/>
      <c r="Q169" s="222"/>
    </row>
    <row r="170" spans="1:17" ht="20.100000000000001" customHeight="1">
      <c r="A170" s="1512" t="s">
        <v>893</v>
      </c>
      <c r="B170" s="1513"/>
      <c r="C170" s="815">
        <f>SUM(C158:C169)</f>
        <v>257.63499999999999</v>
      </c>
      <c r="D170" s="816">
        <f>SUM(D158:D169)</f>
        <v>0</v>
      </c>
      <c r="E170" s="817">
        <f>C170+D170</f>
        <v>257.63499999999999</v>
      </c>
      <c r="F170" s="815">
        <f>SUM(F158:F169)</f>
        <v>30.727899999999998</v>
      </c>
      <c r="G170" s="816">
        <f>SUM(G158:G169)</f>
        <v>0</v>
      </c>
      <c r="H170" s="817">
        <f>F170+G170</f>
        <v>30.727899999999998</v>
      </c>
      <c r="I170" s="815">
        <f>SUM(I158:I169)</f>
        <v>0</v>
      </c>
      <c r="J170" s="816">
        <f>SUM(J158:J169)</f>
        <v>0</v>
      </c>
      <c r="K170" s="817">
        <f>I170+J170</f>
        <v>0</v>
      </c>
      <c r="L170" s="815">
        <f>SUM(L158:L169)</f>
        <v>0</v>
      </c>
      <c r="M170" s="816">
        <f>SUM(M158:M169)</f>
        <v>0</v>
      </c>
      <c r="N170" s="817">
        <f>L170+M170</f>
        <v>0</v>
      </c>
      <c r="O170" s="820">
        <f>+E170+H170+K170+N170</f>
        <v>288.36289999999997</v>
      </c>
      <c r="P170" s="778"/>
      <c r="Q170" s="778"/>
    </row>
    <row r="171" spans="1:17" ht="20.100000000000001" customHeight="1">
      <c r="A171" s="1518" t="s">
        <v>1157</v>
      </c>
      <c r="B171" s="1518"/>
      <c r="C171" s="1518"/>
      <c r="D171" s="1518"/>
      <c r="E171" s="1518"/>
      <c r="F171" s="1518"/>
      <c r="G171" s="1518"/>
      <c r="H171" s="1518"/>
      <c r="I171" s="1518"/>
      <c r="J171" s="1518"/>
      <c r="K171" s="1518"/>
      <c r="L171" s="1518"/>
      <c r="M171" s="1518"/>
      <c r="N171" s="1518"/>
      <c r="O171" s="1518"/>
      <c r="P171" s="780"/>
      <c r="Q171" s="780"/>
    </row>
    <row r="172" spans="1:17" ht="28.5">
      <c r="A172" s="595">
        <f>+A66</f>
        <v>1</v>
      </c>
      <c r="B172" s="596" t="str">
        <f t="shared" ref="B172" si="149">+B66</f>
        <v>College of Home Economics</v>
      </c>
      <c r="C172" s="800">
        <f>+'107 (a)'!E176*'107'!J195</f>
        <v>3.4649999999999999</v>
      </c>
      <c r="D172" s="800"/>
      <c r="E172" s="801">
        <f t="shared" ref="E172" si="150">C172+D172</f>
        <v>3.4649999999999999</v>
      </c>
      <c r="F172" s="800"/>
      <c r="G172" s="800"/>
      <c r="H172" s="801">
        <f t="shared" ref="H172" si="151">F172+G172</f>
        <v>0</v>
      </c>
      <c r="I172" s="800"/>
      <c r="J172" s="800"/>
      <c r="K172" s="801">
        <f t="shared" ref="K172" si="152">I172+J172</f>
        <v>0</v>
      </c>
      <c r="L172" s="800"/>
      <c r="M172" s="800"/>
      <c r="N172" s="801">
        <f t="shared" ref="N172" si="153">L172+M172</f>
        <v>0</v>
      </c>
      <c r="O172" s="757">
        <f t="shared" ref="O172:O177" si="154">+E172+H172+K172+N172</f>
        <v>3.4649999999999999</v>
      </c>
      <c r="P172" s="222"/>
      <c r="Q172" s="222"/>
    </row>
    <row r="173" spans="1:17" ht="28.5">
      <c r="A173" s="595">
        <f t="shared" ref="A173:B173" si="155">+A67</f>
        <v>2</v>
      </c>
      <c r="B173" s="596" t="str">
        <f t="shared" si="155"/>
        <v>Instiute of Management Studies</v>
      </c>
      <c r="C173" s="800">
        <f>+'107 (a)'!E177*'107'!J193</f>
        <v>3.2849999999999997</v>
      </c>
      <c r="D173" s="800"/>
      <c r="E173" s="801">
        <f t="shared" ref="E173:E177" si="156">C173+D173</f>
        <v>3.2849999999999997</v>
      </c>
      <c r="F173" s="800">
        <f>+'107 (a)'!H177*'107'!J151</f>
        <v>3.6783999999999999</v>
      </c>
      <c r="G173" s="800"/>
      <c r="H173" s="801">
        <f t="shared" ref="H173:H177" si="157">F173+G173</f>
        <v>3.6783999999999999</v>
      </c>
      <c r="I173" s="800"/>
      <c r="J173" s="800"/>
      <c r="K173" s="801">
        <f t="shared" ref="K173:K177" si="158">I173+J173</f>
        <v>0</v>
      </c>
      <c r="L173" s="800"/>
      <c r="M173" s="800"/>
      <c r="N173" s="801">
        <f t="shared" ref="N173:N177" si="159">L173+M173</f>
        <v>0</v>
      </c>
      <c r="O173" s="757">
        <f t="shared" si="154"/>
        <v>6.9634</v>
      </c>
      <c r="P173" s="222"/>
      <c r="Q173" s="222"/>
    </row>
    <row r="174" spans="1:17" ht="28.5">
      <c r="A174" s="595">
        <f t="shared" ref="A174:B174" si="160">+A68</f>
        <v>3</v>
      </c>
      <c r="B174" s="596" t="str">
        <f t="shared" si="160"/>
        <v>Journalism &amp; Mass Communication</v>
      </c>
      <c r="C174" s="800"/>
      <c r="D174" s="800"/>
      <c r="E174" s="801">
        <f t="shared" si="156"/>
        <v>0</v>
      </c>
      <c r="F174" s="800">
        <f>+'107 (a)'!H178*'107'!J153</f>
        <v>0.51239999999999997</v>
      </c>
      <c r="G174" s="800"/>
      <c r="H174" s="801">
        <f t="shared" si="157"/>
        <v>0.51239999999999997</v>
      </c>
      <c r="I174" s="800"/>
      <c r="J174" s="800"/>
      <c r="K174" s="801">
        <f t="shared" si="158"/>
        <v>0</v>
      </c>
      <c r="L174" s="800"/>
      <c r="M174" s="800"/>
      <c r="N174" s="801">
        <f t="shared" si="159"/>
        <v>0</v>
      </c>
      <c r="O174" s="757">
        <f t="shared" si="154"/>
        <v>0.51239999999999997</v>
      </c>
      <c r="P174" s="222"/>
      <c r="Q174" s="222"/>
    </row>
    <row r="175" spans="1:17" ht="28.5">
      <c r="A175" s="595">
        <f t="shared" ref="A175:B175" si="161">+A69</f>
        <v>4</v>
      </c>
      <c r="B175" s="596" t="str">
        <f t="shared" si="161"/>
        <v>Library &amp; Information Science</v>
      </c>
      <c r="C175" s="800"/>
      <c r="D175" s="800"/>
      <c r="E175" s="801">
        <f t="shared" si="156"/>
        <v>0</v>
      </c>
      <c r="F175" s="800"/>
      <c r="G175" s="800"/>
      <c r="H175" s="801">
        <f t="shared" si="157"/>
        <v>0</v>
      </c>
      <c r="I175" s="800"/>
      <c r="J175" s="800"/>
      <c r="K175" s="801">
        <f t="shared" si="158"/>
        <v>0</v>
      </c>
      <c r="L175" s="800"/>
      <c r="M175" s="800"/>
      <c r="N175" s="801">
        <f t="shared" si="159"/>
        <v>0</v>
      </c>
      <c r="O175" s="757">
        <f t="shared" si="154"/>
        <v>0</v>
      </c>
      <c r="P175" s="222"/>
      <c r="Q175" s="222"/>
    </row>
    <row r="176" spans="1:17" ht="28.5">
      <c r="A176" s="595">
        <f t="shared" ref="A176:B176" si="162">+A70</f>
        <v>5</v>
      </c>
      <c r="B176" s="596" t="str">
        <f t="shared" si="162"/>
        <v>Quaid-e-Azam College of Commerce</v>
      </c>
      <c r="C176" s="800"/>
      <c r="D176" s="800"/>
      <c r="E176" s="801">
        <f t="shared" si="156"/>
        <v>0</v>
      </c>
      <c r="F176" s="800"/>
      <c r="G176" s="800"/>
      <c r="H176" s="801">
        <f t="shared" si="157"/>
        <v>0</v>
      </c>
      <c r="I176" s="800"/>
      <c r="J176" s="800"/>
      <c r="K176" s="801">
        <f t="shared" si="158"/>
        <v>0</v>
      </c>
      <c r="L176" s="800"/>
      <c r="M176" s="800"/>
      <c r="N176" s="801">
        <f t="shared" si="159"/>
        <v>0</v>
      </c>
      <c r="O176" s="757">
        <f t="shared" si="154"/>
        <v>0</v>
      </c>
      <c r="P176" s="222"/>
      <c r="Q176" s="222"/>
    </row>
    <row r="177" spans="1:17" ht="20.100000000000001" customHeight="1">
      <c r="A177" s="595" t="str">
        <f t="shared" ref="A177:B177" si="163">+A71</f>
        <v>sub-total</v>
      </c>
      <c r="B177" s="595">
        <f t="shared" si="163"/>
        <v>0</v>
      </c>
      <c r="C177" s="800"/>
      <c r="D177" s="800"/>
      <c r="E177" s="801">
        <f t="shared" si="156"/>
        <v>0</v>
      </c>
      <c r="F177" s="800"/>
      <c r="G177" s="800"/>
      <c r="H177" s="801">
        <f t="shared" si="157"/>
        <v>0</v>
      </c>
      <c r="I177" s="800"/>
      <c r="J177" s="800"/>
      <c r="K177" s="801">
        <f t="shared" si="158"/>
        <v>0</v>
      </c>
      <c r="L177" s="800"/>
      <c r="M177" s="800"/>
      <c r="N177" s="801">
        <f t="shared" si="159"/>
        <v>0</v>
      </c>
      <c r="O177" s="757">
        <f t="shared" si="154"/>
        <v>0</v>
      </c>
      <c r="P177" s="222"/>
      <c r="Q177" s="222"/>
    </row>
    <row r="178" spans="1:17" ht="20.100000000000001" customHeight="1">
      <c r="A178" s="1512" t="s">
        <v>893</v>
      </c>
      <c r="B178" s="1513"/>
      <c r="C178" s="818">
        <f>SUM(C172:C176)</f>
        <v>6.75</v>
      </c>
      <c r="D178" s="818">
        <f t="shared" ref="D178:N178" si="164">SUM(D172:D176)</f>
        <v>0</v>
      </c>
      <c r="E178" s="818">
        <f t="shared" si="164"/>
        <v>6.75</v>
      </c>
      <c r="F178" s="818">
        <f t="shared" si="164"/>
        <v>4.1907999999999994</v>
      </c>
      <c r="G178" s="818">
        <f t="shared" si="164"/>
        <v>0</v>
      </c>
      <c r="H178" s="818">
        <f t="shared" si="164"/>
        <v>4.1907999999999994</v>
      </c>
      <c r="I178" s="818">
        <f t="shared" si="164"/>
        <v>0</v>
      </c>
      <c r="J178" s="818">
        <f t="shared" si="164"/>
        <v>0</v>
      </c>
      <c r="K178" s="818">
        <f t="shared" si="164"/>
        <v>0</v>
      </c>
      <c r="L178" s="818">
        <f t="shared" si="164"/>
        <v>0</v>
      </c>
      <c r="M178" s="818">
        <f t="shared" si="164"/>
        <v>0</v>
      </c>
      <c r="N178" s="818">
        <f t="shared" si="164"/>
        <v>0</v>
      </c>
      <c r="O178" s="820">
        <f>+E178+H178+K178+N178</f>
        <v>10.940799999999999</v>
      </c>
      <c r="P178" s="778"/>
      <c r="Q178" s="778"/>
    </row>
    <row r="179" spans="1:17" ht="20.100000000000001" customHeight="1">
      <c r="A179" s="1517" t="s">
        <v>878</v>
      </c>
      <c r="B179" s="1517"/>
      <c r="C179" s="1497" t="s">
        <v>1106</v>
      </c>
      <c r="D179" s="1498"/>
      <c r="E179" s="1498"/>
      <c r="F179" s="1498"/>
      <c r="G179" s="1498"/>
      <c r="H179" s="1498"/>
      <c r="I179" s="1499"/>
      <c r="J179" s="1499"/>
      <c r="K179" s="1499"/>
      <c r="L179" s="1499"/>
      <c r="M179" s="1499"/>
      <c r="N179" s="1499"/>
      <c r="O179" s="1500"/>
      <c r="P179" s="770"/>
      <c r="Q179" s="770"/>
    </row>
    <row r="180" spans="1:17" ht="20.100000000000001" customHeight="1">
      <c r="A180" s="1517"/>
      <c r="B180" s="1517"/>
      <c r="C180" s="1501" t="s">
        <v>154</v>
      </c>
      <c r="D180" s="1502" t="s">
        <v>155</v>
      </c>
      <c r="E180" s="1503"/>
      <c r="F180" s="1504" t="s">
        <v>156</v>
      </c>
      <c r="G180" s="1505"/>
      <c r="H180" s="1506"/>
      <c r="I180" s="1507" t="s">
        <v>880</v>
      </c>
      <c r="J180" s="1508"/>
      <c r="K180" s="1509"/>
      <c r="L180" s="1501" t="s">
        <v>136</v>
      </c>
      <c r="M180" s="1502"/>
      <c r="N180" s="1503"/>
      <c r="O180" s="1510" t="s">
        <v>138</v>
      </c>
      <c r="P180" s="771"/>
      <c r="Q180" s="771"/>
    </row>
    <row r="181" spans="1:17" ht="40.5" customHeight="1">
      <c r="A181" s="1517"/>
      <c r="B181" s="1517"/>
      <c r="C181" s="229" t="s">
        <v>882</v>
      </c>
      <c r="D181" s="230" t="s">
        <v>883</v>
      </c>
      <c r="E181" s="24" t="s">
        <v>138</v>
      </c>
      <c r="F181" s="229" t="s">
        <v>882</v>
      </c>
      <c r="G181" s="230" t="s">
        <v>883</v>
      </c>
      <c r="H181" s="24" t="s">
        <v>138</v>
      </c>
      <c r="I181" s="229" t="s">
        <v>882</v>
      </c>
      <c r="J181" s="230" t="s">
        <v>883</v>
      </c>
      <c r="K181" s="24" t="s">
        <v>138</v>
      </c>
      <c r="L181" s="229" t="s">
        <v>882</v>
      </c>
      <c r="M181" s="230" t="s">
        <v>883</v>
      </c>
      <c r="N181" s="24" t="s">
        <v>138</v>
      </c>
      <c r="O181" s="1511"/>
      <c r="P181" s="771"/>
      <c r="Q181" s="771"/>
    </row>
    <row r="182" spans="1:17" ht="20.100000000000001" customHeight="1">
      <c r="A182" s="1476" t="s">
        <v>879</v>
      </c>
      <c r="B182" s="1478"/>
      <c r="C182" s="27"/>
      <c r="D182" s="27"/>
      <c r="E182" s="28"/>
      <c r="F182" s="27"/>
      <c r="G182" s="27"/>
      <c r="H182" s="28"/>
      <c r="I182" s="27"/>
      <c r="J182" s="27"/>
      <c r="K182" s="28"/>
      <c r="L182" s="27"/>
      <c r="M182" s="27"/>
      <c r="N182" s="28"/>
      <c r="O182" s="27"/>
      <c r="P182" s="779"/>
      <c r="Q182" s="779"/>
    </row>
    <row r="183" spans="1:17" ht="20.100000000000001" customHeight="1">
      <c r="A183" s="239">
        <v>1</v>
      </c>
      <c r="B183" s="241"/>
      <c r="C183" s="25"/>
      <c r="D183" s="25"/>
      <c r="E183" s="234">
        <f>C183+D183</f>
        <v>0</v>
      </c>
      <c r="F183" s="25"/>
      <c r="G183" s="25"/>
      <c r="H183" s="234">
        <f>F183+G183</f>
        <v>0</v>
      </c>
      <c r="I183" s="25"/>
      <c r="J183" s="25"/>
      <c r="K183" s="234">
        <f>I183+J183</f>
        <v>0</v>
      </c>
      <c r="L183" s="25"/>
      <c r="M183" s="25"/>
      <c r="N183" s="234">
        <f>L183+M183</f>
        <v>0</v>
      </c>
      <c r="O183" s="26">
        <f>M183+N183</f>
        <v>0</v>
      </c>
      <c r="P183" s="222"/>
      <c r="Q183" s="222"/>
    </row>
    <row r="184" spans="1:17" ht="20.100000000000001" customHeight="1">
      <c r="A184" s="240">
        <v>2</v>
      </c>
      <c r="B184" s="242"/>
      <c r="C184" s="236"/>
      <c r="D184" s="236"/>
      <c r="E184" s="237">
        <f>C184+D184</f>
        <v>0</v>
      </c>
      <c r="F184" s="236"/>
      <c r="G184" s="236"/>
      <c r="H184" s="237">
        <f>F184+G184</f>
        <v>0</v>
      </c>
      <c r="I184" s="236"/>
      <c r="J184" s="236"/>
      <c r="K184" s="237">
        <f>I184+J184</f>
        <v>0</v>
      </c>
      <c r="L184" s="236"/>
      <c r="M184" s="236"/>
      <c r="N184" s="237">
        <f>L184+M184</f>
        <v>0</v>
      </c>
      <c r="O184" s="238">
        <f>M184+N184</f>
        <v>0</v>
      </c>
      <c r="P184" s="222"/>
      <c r="Q184" s="222"/>
    </row>
    <row r="185" spans="1:17" ht="20.100000000000001" customHeight="1">
      <c r="A185" s="240">
        <v>3</v>
      </c>
      <c r="B185" s="242"/>
      <c r="C185" s="236"/>
      <c r="D185" s="236"/>
      <c r="E185" s="237">
        <f t="shared" ref="E185:E188" si="165">C185+D185</f>
        <v>0</v>
      </c>
      <c r="F185" s="236"/>
      <c r="G185" s="236"/>
      <c r="H185" s="237">
        <f t="shared" ref="H185:H188" si="166">F185+G185</f>
        <v>0</v>
      </c>
      <c r="I185" s="236"/>
      <c r="J185" s="236"/>
      <c r="K185" s="237">
        <f t="shared" ref="K185:K188" si="167">I185+J185</f>
        <v>0</v>
      </c>
      <c r="L185" s="236"/>
      <c r="M185" s="236"/>
      <c r="N185" s="237">
        <f t="shared" ref="N185:N188" si="168">L185+M185</f>
        <v>0</v>
      </c>
      <c r="O185" s="238">
        <f t="shared" ref="O185:O188" si="169">M185+N185</f>
        <v>0</v>
      </c>
      <c r="P185" s="222"/>
      <c r="Q185" s="222"/>
    </row>
    <row r="186" spans="1:17" ht="20.100000000000001" customHeight="1">
      <c r="A186" s="240">
        <v>4</v>
      </c>
      <c r="B186" s="242"/>
      <c r="C186" s="236"/>
      <c r="D186" s="236"/>
      <c r="E186" s="237">
        <f t="shared" si="165"/>
        <v>0</v>
      </c>
      <c r="F186" s="236"/>
      <c r="G186" s="236"/>
      <c r="H186" s="237">
        <f t="shared" si="166"/>
        <v>0</v>
      </c>
      <c r="I186" s="236"/>
      <c r="J186" s="236"/>
      <c r="K186" s="237">
        <f t="shared" si="167"/>
        <v>0</v>
      </c>
      <c r="L186" s="236"/>
      <c r="M186" s="236"/>
      <c r="N186" s="237">
        <f t="shared" si="168"/>
        <v>0</v>
      </c>
      <c r="O186" s="238">
        <f t="shared" si="169"/>
        <v>0</v>
      </c>
      <c r="P186" s="222"/>
      <c r="Q186" s="222"/>
    </row>
    <row r="187" spans="1:17" ht="20.100000000000001" customHeight="1">
      <c r="A187" s="240">
        <v>5</v>
      </c>
      <c r="B187" s="242"/>
      <c r="C187" s="236"/>
      <c r="D187" s="236"/>
      <c r="E187" s="237">
        <f t="shared" si="165"/>
        <v>0</v>
      </c>
      <c r="F187" s="236"/>
      <c r="G187" s="236"/>
      <c r="H187" s="237">
        <f t="shared" si="166"/>
        <v>0</v>
      </c>
      <c r="I187" s="236"/>
      <c r="J187" s="236"/>
      <c r="K187" s="237">
        <f t="shared" si="167"/>
        <v>0</v>
      </c>
      <c r="L187" s="236"/>
      <c r="M187" s="236"/>
      <c r="N187" s="237">
        <f t="shared" si="168"/>
        <v>0</v>
      </c>
      <c r="O187" s="238">
        <f t="shared" si="169"/>
        <v>0</v>
      </c>
      <c r="P187" s="222"/>
      <c r="Q187" s="222"/>
    </row>
    <row r="188" spans="1:17" ht="20.100000000000001" customHeight="1">
      <c r="A188" s="269">
        <v>6</v>
      </c>
      <c r="B188" s="243"/>
      <c r="C188" s="235"/>
      <c r="D188" s="235"/>
      <c r="E188" s="196">
        <f t="shared" si="165"/>
        <v>0</v>
      </c>
      <c r="F188" s="235"/>
      <c r="G188" s="235"/>
      <c r="H188" s="196">
        <f t="shared" si="166"/>
        <v>0</v>
      </c>
      <c r="I188" s="235"/>
      <c r="J188" s="235"/>
      <c r="K188" s="196">
        <f t="shared" si="167"/>
        <v>0</v>
      </c>
      <c r="L188" s="235"/>
      <c r="M188" s="235"/>
      <c r="N188" s="196">
        <f t="shared" si="168"/>
        <v>0</v>
      </c>
      <c r="O188" s="29">
        <f t="shared" si="169"/>
        <v>0</v>
      </c>
      <c r="P188" s="222"/>
      <c r="Q188" s="222"/>
    </row>
    <row r="189" spans="1:17" ht="20.100000000000001" customHeight="1">
      <c r="A189" s="1514" t="s">
        <v>893</v>
      </c>
      <c r="B189" s="1515"/>
      <c r="C189" s="231">
        <f>SUM(C183:C187)</f>
        <v>0</v>
      </c>
      <c r="D189" s="232">
        <f>SUM(D183:D187)</f>
        <v>0</v>
      </c>
      <c r="E189" s="233">
        <f>C189+D189</f>
        <v>0</v>
      </c>
      <c r="F189" s="231">
        <f>SUM(F183:F187)</f>
        <v>0</v>
      </c>
      <c r="G189" s="232">
        <f>SUM(G183:G187)</f>
        <v>0</v>
      </c>
      <c r="H189" s="233">
        <f>F189+G189</f>
        <v>0</v>
      </c>
      <c r="I189" s="231">
        <f>SUM(I183:I187)</f>
        <v>0</v>
      </c>
      <c r="J189" s="232">
        <f>SUM(J183:J187)</f>
        <v>0</v>
      </c>
      <c r="K189" s="233">
        <f>I189+J189</f>
        <v>0</v>
      </c>
      <c r="L189" s="231">
        <f>SUM(L183:L187)</f>
        <v>0</v>
      </c>
      <c r="M189" s="232">
        <f>SUM(M183:M187)</f>
        <v>0</v>
      </c>
      <c r="N189" s="233">
        <f>L189+M189</f>
        <v>0</v>
      </c>
      <c r="O189" s="249">
        <f>E189+H189+K189+N189</f>
        <v>0</v>
      </c>
      <c r="P189" s="778"/>
      <c r="Q189" s="778"/>
    </row>
    <row r="190" spans="1:17" ht="20.100000000000001" customHeight="1">
      <c r="A190" s="1476" t="s">
        <v>149</v>
      </c>
      <c r="B190" s="1478"/>
      <c r="C190" s="27"/>
      <c r="D190" s="27"/>
      <c r="E190" s="28"/>
      <c r="F190" s="27"/>
      <c r="G190" s="27"/>
      <c r="H190" s="28"/>
      <c r="I190" s="27"/>
      <c r="J190" s="27"/>
      <c r="K190" s="28"/>
      <c r="L190" s="27"/>
      <c r="M190" s="27"/>
      <c r="N190" s="28"/>
      <c r="O190" s="27"/>
      <c r="P190" s="779"/>
      <c r="Q190" s="779"/>
    </row>
    <row r="191" spans="1:17" ht="20.100000000000001" customHeight="1">
      <c r="A191" s="239">
        <v>1</v>
      </c>
      <c r="B191" s="241"/>
      <c r="C191" s="25"/>
      <c r="D191" s="25"/>
      <c r="E191" s="234">
        <f>C191+D191</f>
        <v>0</v>
      </c>
      <c r="F191" s="25"/>
      <c r="G191" s="25"/>
      <c r="H191" s="234">
        <f>F191+G191</f>
        <v>0</v>
      </c>
      <c r="I191" s="25"/>
      <c r="J191" s="25"/>
      <c r="K191" s="234">
        <f>I191+J191</f>
        <v>0</v>
      </c>
      <c r="L191" s="25"/>
      <c r="M191" s="25"/>
      <c r="N191" s="234">
        <f>L191+M191</f>
        <v>0</v>
      </c>
      <c r="O191" s="26">
        <f>M191+N191</f>
        <v>0</v>
      </c>
      <c r="P191" s="222"/>
      <c r="Q191" s="222"/>
    </row>
    <row r="192" spans="1:17" ht="20.100000000000001" customHeight="1">
      <c r="A192" s="240">
        <v>2</v>
      </c>
      <c r="B192" s="242"/>
      <c r="C192" s="236"/>
      <c r="D192" s="236"/>
      <c r="E192" s="237">
        <f>C192+D192</f>
        <v>0</v>
      </c>
      <c r="F192" s="236"/>
      <c r="G192" s="236"/>
      <c r="H192" s="237">
        <f>F192+G192</f>
        <v>0</v>
      </c>
      <c r="I192" s="236"/>
      <c r="J192" s="236"/>
      <c r="K192" s="237">
        <f>I192+J192</f>
        <v>0</v>
      </c>
      <c r="L192" s="236"/>
      <c r="M192" s="236"/>
      <c r="N192" s="237">
        <f>L192+M192</f>
        <v>0</v>
      </c>
      <c r="O192" s="238">
        <f>M192+N192</f>
        <v>0</v>
      </c>
      <c r="P192" s="222"/>
      <c r="Q192" s="222"/>
    </row>
    <row r="193" spans="1:17" ht="20.100000000000001" customHeight="1">
      <c r="A193" s="240">
        <v>3</v>
      </c>
      <c r="B193" s="242"/>
      <c r="C193" s="236"/>
      <c r="D193" s="236"/>
      <c r="E193" s="237">
        <f t="shared" ref="E193:E196" si="170">C193+D193</f>
        <v>0</v>
      </c>
      <c r="F193" s="236"/>
      <c r="G193" s="236"/>
      <c r="H193" s="237">
        <f t="shared" ref="H193:H196" si="171">F193+G193</f>
        <v>0</v>
      </c>
      <c r="I193" s="236"/>
      <c r="J193" s="236"/>
      <c r="K193" s="237">
        <f t="shared" ref="K193:K196" si="172">I193+J193</f>
        <v>0</v>
      </c>
      <c r="L193" s="236"/>
      <c r="M193" s="236"/>
      <c r="N193" s="237">
        <f t="shared" ref="N193:N196" si="173">L193+M193</f>
        <v>0</v>
      </c>
      <c r="O193" s="238">
        <f t="shared" ref="O193:O196" si="174">M193+N193</f>
        <v>0</v>
      </c>
      <c r="P193" s="222"/>
      <c r="Q193" s="222"/>
    </row>
    <row r="194" spans="1:17" ht="20.100000000000001" customHeight="1">
      <c r="A194" s="240">
        <v>4</v>
      </c>
      <c r="B194" s="242"/>
      <c r="C194" s="236"/>
      <c r="D194" s="236"/>
      <c r="E194" s="237">
        <f t="shared" si="170"/>
        <v>0</v>
      </c>
      <c r="F194" s="236"/>
      <c r="G194" s="236"/>
      <c r="H194" s="237">
        <f t="shared" si="171"/>
        <v>0</v>
      </c>
      <c r="I194" s="236"/>
      <c r="J194" s="236"/>
      <c r="K194" s="237">
        <f t="shared" si="172"/>
        <v>0</v>
      </c>
      <c r="L194" s="236"/>
      <c r="M194" s="236"/>
      <c r="N194" s="237">
        <f t="shared" si="173"/>
        <v>0</v>
      </c>
      <c r="O194" s="238">
        <f t="shared" si="174"/>
        <v>0</v>
      </c>
      <c r="P194" s="222"/>
      <c r="Q194" s="222"/>
    </row>
    <row r="195" spans="1:17" ht="20.100000000000001" customHeight="1">
      <c r="A195" s="240">
        <v>5</v>
      </c>
      <c r="B195" s="242"/>
      <c r="C195" s="236"/>
      <c r="D195" s="236"/>
      <c r="E195" s="237">
        <f t="shared" si="170"/>
        <v>0</v>
      </c>
      <c r="F195" s="236"/>
      <c r="G195" s="236"/>
      <c r="H195" s="237">
        <f t="shared" si="171"/>
        <v>0</v>
      </c>
      <c r="I195" s="236"/>
      <c r="J195" s="236"/>
      <c r="K195" s="237">
        <f t="shared" si="172"/>
        <v>0</v>
      </c>
      <c r="L195" s="236"/>
      <c r="M195" s="236"/>
      <c r="N195" s="237">
        <f t="shared" si="173"/>
        <v>0</v>
      </c>
      <c r="O195" s="238">
        <f t="shared" si="174"/>
        <v>0</v>
      </c>
      <c r="P195" s="222"/>
      <c r="Q195" s="222"/>
    </row>
    <row r="196" spans="1:17" ht="20.100000000000001" customHeight="1">
      <c r="A196" s="269">
        <v>6</v>
      </c>
      <c r="B196" s="243"/>
      <c r="C196" s="235"/>
      <c r="D196" s="235"/>
      <c r="E196" s="196">
        <f t="shared" si="170"/>
        <v>0</v>
      </c>
      <c r="F196" s="235"/>
      <c r="G196" s="235"/>
      <c r="H196" s="196">
        <f t="shared" si="171"/>
        <v>0</v>
      </c>
      <c r="I196" s="235"/>
      <c r="J196" s="235"/>
      <c r="K196" s="196">
        <f t="shared" si="172"/>
        <v>0</v>
      </c>
      <c r="L196" s="235"/>
      <c r="M196" s="235"/>
      <c r="N196" s="196">
        <f t="shared" si="173"/>
        <v>0</v>
      </c>
      <c r="O196" s="29">
        <f t="shared" si="174"/>
        <v>0</v>
      </c>
      <c r="P196" s="222"/>
      <c r="Q196" s="222"/>
    </row>
    <row r="197" spans="1:17" ht="20.100000000000001" customHeight="1">
      <c r="A197" s="1514" t="s">
        <v>893</v>
      </c>
      <c r="B197" s="1515"/>
      <c r="C197" s="231">
        <f>SUM(C191:C195)</f>
        <v>0</v>
      </c>
      <c r="D197" s="232">
        <f>SUM(D191:D195)</f>
        <v>0</v>
      </c>
      <c r="E197" s="233">
        <f>C197+D197</f>
        <v>0</v>
      </c>
      <c r="F197" s="231">
        <f>SUM(F191:F195)</f>
        <v>0</v>
      </c>
      <c r="G197" s="232">
        <f>SUM(G191:G195)</f>
        <v>0</v>
      </c>
      <c r="H197" s="233">
        <f>F197+G197</f>
        <v>0</v>
      </c>
      <c r="I197" s="231">
        <f>SUM(I191:I195)</f>
        <v>0</v>
      </c>
      <c r="J197" s="232">
        <f>SUM(J191:J195)</f>
        <v>0</v>
      </c>
      <c r="K197" s="233">
        <f>I197+J197</f>
        <v>0</v>
      </c>
      <c r="L197" s="231">
        <f>SUM(L191:L195)</f>
        <v>0</v>
      </c>
      <c r="M197" s="232">
        <f>SUM(M191:M195)</f>
        <v>0</v>
      </c>
      <c r="N197" s="233">
        <f>L197+M197</f>
        <v>0</v>
      </c>
      <c r="O197" s="249">
        <f>E197+H197+K197+N197</f>
        <v>0</v>
      </c>
      <c r="P197" s="778"/>
      <c r="Q197" s="778"/>
    </row>
    <row r="198" spans="1:17" ht="20.100000000000001" customHeight="1">
      <c r="A198" s="1476" t="s">
        <v>150</v>
      </c>
      <c r="B198" s="1478"/>
      <c r="C198" s="27"/>
      <c r="D198" s="27"/>
      <c r="E198" s="28"/>
      <c r="F198" s="27"/>
      <c r="G198" s="27"/>
      <c r="H198" s="28"/>
      <c r="I198" s="27"/>
      <c r="J198" s="27"/>
      <c r="K198" s="28"/>
      <c r="L198" s="27"/>
      <c r="M198" s="27"/>
      <c r="N198" s="28"/>
      <c r="O198" s="27"/>
      <c r="P198" s="779"/>
      <c r="Q198" s="779"/>
    </row>
    <row r="199" spans="1:17" ht="20.100000000000001" customHeight="1">
      <c r="A199" s="239">
        <v>1</v>
      </c>
      <c r="B199" s="241"/>
      <c r="C199" s="25"/>
      <c r="D199" s="25"/>
      <c r="E199" s="234">
        <f>C199+D199</f>
        <v>0</v>
      </c>
      <c r="F199" s="25"/>
      <c r="G199" s="25"/>
      <c r="H199" s="234">
        <f>F199+G199</f>
        <v>0</v>
      </c>
      <c r="I199" s="25"/>
      <c r="J199" s="25"/>
      <c r="K199" s="234">
        <f>I199+J199</f>
        <v>0</v>
      </c>
      <c r="L199" s="25"/>
      <c r="M199" s="25"/>
      <c r="N199" s="234">
        <f>L199+M199</f>
        <v>0</v>
      </c>
      <c r="O199" s="26">
        <f>M199+N199</f>
        <v>0</v>
      </c>
      <c r="P199" s="222"/>
      <c r="Q199" s="222"/>
    </row>
    <row r="200" spans="1:17" ht="20.100000000000001" customHeight="1">
      <c r="A200" s="240">
        <v>2</v>
      </c>
      <c r="B200" s="242"/>
      <c r="C200" s="236"/>
      <c r="D200" s="236"/>
      <c r="E200" s="237">
        <f>C200+D200</f>
        <v>0</v>
      </c>
      <c r="F200" s="236"/>
      <c r="G200" s="236"/>
      <c r="H200" s="237">
        <f>F200+G200</f>
        <v>0</v>
      </c>
      <c r="I200" s="236"/>
      <c r="J200" s="236"/>
      <c r="K200" s="237">
        <f>I200+J200</f>
        <v>0</v>
      </c>
      <c r="L200" s="236"/>
      <c r="M200" s="236"/>
      <c r="N200" s="237">
        <f>L200+M200</f>
        <v>0</v>
      </c>
      <c r="O200" s="238">
        <f>M200+N200</f>
        <v>0</v>
      </c>
      <c r="P200" s="222"/>
      <c r="Q200" s="222"/>
    </row>
    <row r="201" spans="1:17" ht="20.100000000000001" customHeight="1">
      <c r="A201" s="240">
        <v>3</v>
      </c>
      <c r="B201" s="242"/>
      <c r="C201" s="236"/>
      <c r="D201" s="236"/>
      <c r="E201" s="237">
        <f t="shared" ref="E201:E204" si="175">C201+D201</f>
        <v>0</v>
      </c>
      <c r="F201" s="236"/>
      <c r="G201" s="236"/>
      <c r="H201" s="237">
        <f t="shared" ref="H201:H204" si="176">F201+G201</f>
        <v>0</v>
      </c>
      <c r="I201" s="236"/>
      <c r="J201" s="236"/>
      <c r="K201" s="237">
        <f t="shared" ref="K201:K204" si="177">I201+J201</f>
        <v>0</v>
      </c>
      <c r="L201" s="236"/>
      <c r="M201" s="236"/>
      <c r="N201" s="237">
        <f t="shared" ref="N201:N204" si="178">L201+M201</f>
        <v>0</v>
      </c>
      <c r="O201" s="238">
        <f t="shared" ref="O201:O204" si="179">M201+N201</f>
        <v>0</v>
      </c>
      <c r="P201" s="222"/>
      <c r="Q201" s="222"/>
    </row>
    <row r="202" spans="1:17" ht="20.100000000000001" customHeight="1">
      <c r="A202" s="240">
        <v>4</v>
      </c>
      <c r="B202" s="242"/>
      <c r="C202" s="236"/>
      <c r="D202" s="236"/>
      <c r="E202" s="237">
        <f t="shared" si="175"/>
        <v>0</v>
      </c>
      <c r="F202" s="236"/>
      <c r="G202" s="236"/>
      <c r="H202" s="237">
        <f t="shared" si="176"/>
        <v>0</v>
      </c>
      <c r="I202" s="236"/>
      <c r="J202" s="236"/>
      <c r="K202" s="237">
        <f t="shared" si="177"/>
        <v>0</v>
      </c>
      <c r="L202" s="236"/>
      <c r="M202" s="236"/>
      <c r="N202" s="237">
        <f t="shared" si="178"/>
        <v>0</v>
      </c>
      <c r="O202" s="238">
        <f t="shared" si="179"/>
        <v>0</v>
      </c>
      <c r="P202" s="222"/>
      <c r="Q202" s="222"/>
    </row>
    <row r="203" spans="1:17" ht="20.100000000000001" customHeight="1">
      <c r="A203" s="240">
        <v>5</v>
      </c>
      <c r="B203" s="242"/>
      <c r="C203" s="236"/>
      <c r="D203" s="236"/>
      <c r="E203" s="237">
        <f t="shared" si="175"/>
        <v>0</v>
      </c>
      <c r="F203" s="236"/>
      <c r="G203" s="236"/>
      <c r="H203" s="237">
        <f t="shared" si="176"/>
        <v>0</v>
      </c>
      <c r="I203" s="236"/>
      <c r="J203" s="236"/>
      <c r="K203" s="237">
        <f t="shared" si="177"/>
        <v>0</v>
      </c>
      <c r="L203" s="236"/>
      <c r="M203" s="236"/>
      <c r="N203" s="237">
        <f t="shared" si="178"/>
        <v>0</v>
      </c>
      <c r="O203" s="238">
        <f t="shared" si="179"/>
        <v>0</v>
      </c>
      <c r="P203" s="222"/>
      <c r="Q203" s="222"/>
    </row>
    <row r="204" spans="1:17" ht="20.100000000000001" customHeight="1">
      <c r="A204" s="269">
        <v>6</v>
      </c>
      <c r="B204" s="243"/>
      <c r="C204" s="235"/>
      <c r="D204" s="235"/>
      <c r="E204" s="196">
        <f t="shared" si="175"/>
        <v>0</v>
      </c>
      <c r="F204" s="235"/>
      <c r="G204" s="235"/>
      <c r="H204" s="196">
        <f t="shared" si="176"/>
        <v>0</v>
      </c>
      <c r="I204" s="235"/>
      <c r="J204" s="235"/>
      <c r="K204" s="196">
        <f t="shared" si="177"/>
        <v>0</v>
      </c>
      <c r="L204" s="235"/>
      <c r="M204" s="235"/>
      <c r="N204" s="196">
        <f t="shared" si="178"/>
        <v>0</v>
      </c>
      <c r="O204" s="29">
        <f t="shared" si="179"/>
        <v>0</v>
      </c>
      <c r="P204" s="222"/>
      <c r="Q204" s="222"/>
    </row>
    <row r="205" spans="1:17" ht="20.100000000000001" customHeight="1">
      <c r="A205" s="1514" t="s">
        <v>893</v>
      </c>
      <c r="B205" s="1515"/>
      <c r="C205" s="231">
        <f>SUM(C199:C203)</f>
        <v>0</v>
      </c>
      <c r="D205" s="232">
        <f>SUM(D199:D203)</f>
        <v>0</v>
      </c>
      <c r="E205" s="233">
        <f>C205+D205</f>
        <v>0</v>
      </c>
      <c r="F205" s="231">
        <f>SUM(F199:F203)</f>
        <v>0</v>
      </c>
      <c r="G205" s="232">
        <f>SUM(G199:G203)</f>
        <v>0</v>
      </c>
      <c r="H205" s="233">
        <f>F205+G205</f>
        <v>0</v>
      </c>
      <c r="I205" s="231">
        <f>SUM(I199:I203)</f>
        <v>0</v>
      </c>
      <c r="J205" s="232">
        <f>SUM(J199:J203)</f>
        <v>0</v>
      </c>
      <c r="K205" s="233">
        <f>I205+J205</f>
        <v>0</v>
      </c>
      <c r="L205" s="231">
        <f>SUM(L199:L203)</f>
        <v>0</v>
      </c>
      <c r="M205" s="232">
        <f>SUM(M199:M203)</f>
        <v>0</v>
      </c>
      <c r="N205" s="233">
        <f>L205+M205</f>
        <v>0</v>
      </c>
      <c r="O205" s="249">
        <f>E205+H205+K205+N205</f>
        <v>0</v>
      </c>
      <c r="P205" s="778"/>
      <c r="Q205" s="778"/>
    </row>
    <row r="206" spans="1:17" ht="20.100000000000001" customHeight="1">
      <c r="A206" s="1476" t="s">
        <v>151</v>
      </c>
      <c r="B206" s="1478"/>
      <c r="C206" s="27"/>
      <c r="D206" s="27"/>
      <c r="E206" s="28"/>
      <c r="F206" s="27"/>
      <c r="G206" s="27"/>
      <c r="H206" s="28"/>
      <c r="I206" s="27"/>
      <c r="J206" s="27"/>
      <c r="K206" s="28"/>
      <c r="L206" s="27"/>
      <c r="M206" s="27"/>
      <c r="N206" s="28"/>
      <c r="O206" s="27"/>
      <c r="P206" s="779"/>
      <c r="Q206" s="779"/>
    </row>
    <row r="207" spans="1:17" ht="20.100000000000001" customHeight="1">
      <c r="A207" s="239">
        <v>1</v>
      </c>
      <c r="B207" s="241"/>
      <c r="C207" s="25"/>
      <c r="D207" s="25"/>
      <c r="E207" s="234">
        <f>C207+D207</f>
        <v>0</v>
      </c>
      <c r="F207" s="25"/>
      <c r="G207" s="25"/>
      <c r="H207" s="234">
        <f>F207+G207</f>
        <v>0</v>
      </c>
      <c r="I207" s="25"/>
      <c r="J207" s="25"/>
      <c r="K207" s="234">
        <f>I207+J207</f>
        <v>0</v>
      </c>
      <c r="L207" s="25"/>
      <c r="M207" s="25"/>
      <c r="N207" s="234">
        <f>L207+M207</f>
        <v>0</v>
      </c>
      <c r="O207" s="26">
        <f>M207+N207</f>
        <v>0</v>
      </c>
      <c r="P207" s="222"/>
      <c r="Q207" s="222"/>
    </row>
    <row r="208" spans="1:17" ht="20.100000000000001" customHeight="1">
      <c r="A208" s="240">
        <v>2</v>
      </c>
      <c r="B208" s="242"/>
      <c r="C208" s="236"/>
      <c r="D208" s="236"/>
      <c r="E208" s="237">
        <f>C208+D208</f>
        <v>0</v>
      </c>
      <c r="F208" s="236"/>
      <c r="G208" s="236"/>
      <c r="H208" s="237">
        <f>F208+G208</f>
        <v>0</v>
      </c>
      <c r="I208" s="236"/>
      <c r="J208" s="236"/>
      <c r="K208" s="237">
        <f>I208+J208</f>
        <v>0</v>
      </c>
      <c r="L208" s="236"/>
      <c r="M208" s="236"/>
      <c r="N208" s="237">
        <f>L208+M208</f>
        <v>0</v>
      </c>
      <c r="O208" s="238">
        <f>M208+N208</f>
        <v>0</v>
      </c>
      <c r="P208" s="222"/>
      <c r="Q208" s="222"/>
    </row>
    <row r="209" spans="1:18" ht="20.100000000000001" customHeight="1">
      <c r="A209" s="240">
        <v>3</v>
      </c>
      <c r="B209" s="242"/>
      <c r="C209" s="236"/>
      <c r="D209" s="236"/>
      <c r="E209" s="237">
        <f t="shared" ref="E209:E212" si="180">C209+D209</f>
        <v>0</v>
      </c>
      <c r="F209" s="236"/>
      <c r="G209" s="236"/>
      <c r="H209" s="237">
        <f t="shared" ref="H209:H212" si="181">F209+G209</f>
        <v>0</v>
      </c>
      <c r="I209" s="236"/>
      <c r="J209" s="236"/>
      <c r="K209" s="237">
        <f t="shared" ref="K209:K212" si="182">I209+J209</f>
        <v>0</v>
      </c>
      <c r="L209" s="236"/>
      <c r="M209" s="236"/>
      <c r="N209" s="237">
        <f t="shared" ref="N209:N212" si="183">L209+M209</f>
        <v>0</v>
      </c>
      <c r="O209" s="238">
        <f t="shared" ref="O209:O212" si="184">M209+N209</f>
        <v>0</v>
      </c>
      <c r="P209" s="222"/>
      <c r="Q209" s="222"/>
    </row>
    <row r="210" spans="1:18" ht="20.100000000000001" customHeight="1">
      <c r="A210" s="240">
        <v>4</v>
      </c>
      <c r="B210" s="242"/>
      <c r="C210" s="236"/>
      <c r="D210" s="236"/>
      <c r="E210" s="237">
        <f t="shared" si="180"/>
        <v>0</v>
      </c>
      <c r="F210" s="236"/>
      <c r="G210" s="236"/>
      <c r="H210" s="237">
        <f t="shared" si="181"/>
        <v>0</v>
      </c>
      <c r="I210" s="236"/>
      <c r="J210" s="236"/>
      <c r="K210" s="237">
        <f t="shared" si="182"/>
        <v>0</v>
      </c>
      <c r="L210" s="236"/>
      <c r="M210" s="236"/>
      <c r="N210" s="237">
        <f t="shared" si="183"/>
        <v>0</v>
      </c>
      <c r="O210" s="238">
        <f t="shared" si="184"/>
        <v>0</v>
      </c>
      <c r="P210" s="222"/>
      <c r="Q210" s="222"/>
    </row>
    <row r="211" spans="1:18" ht="20.100000000000001" customHeight="1">
      <c r="A211" s="240">
        <v>5</v>
      </c>
      <c r="B211" s="242"/>
      <c r="C211" s="236"/>
      <c r="D211" s="236"/>
      <c r="E211" s="237">
        <f t="shared" si="180"/>
        <v>0</v>
      </c>
      <c r="F211" s="236"/>
      <c r="G211" s="236"/>
      <c r="H211" s="237">
        <f t="shared" si="181"/>
        <v>0</v>
      </c>
      <c r="I211" s="236"/>
      <c r="J211" s="236"/>
      <c r="K211" s="237">
        <f t="shared" si="182"/>
        <v>0</v>
      </c>
      <c r="L211" s="236"/>
      <c r="M211" s="236"/>
      <c r="N211" s="237">
        <f t="shared" si="183"/>
        <v>0</v>
      </c>
      <c r="O211" s="238">
        <f t="shared" si="184"/>
        <v>0</v>
      </c>
      <c r="P211" s="222"/>
      <c r="Q211" s="222"/>
    </row>
    <row r="212" spans="1:18" ht="20.100000000000001" customHeight="1">
      <c r="A212" s="269">
        <v>6</v>
      </c>
      <c r="B212" s="243"/>
      <c r="C212" s="235"/>
      <c r="D212" s="235"/>
      <c r="E212" s="196">
        <f t="shared" si="180"/>
        <v>0</v>
      </c>
      <c r="F212" s="235"/>
      <c r="G212" s="235"/>
      <c r="H212" s="196">
        <f t="shared" si="181"/>
        <v>0</v>
      </c>
      <c r="I212" s="235"/>
      <c r="J212" s="235"/>
      <c r="K212" s="196">
        <f t="shared" si="182"/>
        <v>0</v>
      </c>
      <c r="L212" s="235"/>
      <c r="M212" s="235"/>
      <c r="N212" s="196">
        <f t="shared" si="183"/>
        <v>0</v>
      </c>
      <c r="O212" s="29">
        <f t="shared" si="184"/>
        <v>0</v>
      </c>
      <c r="P212" s="222"/>
      <c r="Q212" s="222"/>
    </row>
    <row r="213" spans="1:18" ht="20.100000000000001" customHeight="1">
      <c r="A213" s="1514" t="s">
        <v>893</v>
      </c>
      <c r="B213" s="1515"/>
      <c r="C213" s="231">
        <f>SUM(C207:C211)</f>
        <v>0</v>
      </c>
      <c r="D213" s="232">
        <f>SUM(D207:D211)</f>
        <v>0</v>
      </c>
      <c r="E213" s="233">
        <f>C213+D213</f>
        <v>0</v>
      </c>
      <c r="F213" s="231">
        <f>SUM(F207:F211)</f>
        <v>0</v>
      </c>
      <c r="G213" s="232">
        <f>SUM(G207:G211)</f>
        <v>0</v>
      </c>
      <c r="H213" s="233">
        <f>F213+G213</f>
        <v>0</v>
      </c>
      <c r="I213" s="231">
        <f>SUM(I207:I211)</f>
        <v>0</v>
      </c>
      <c r="J213" s="232">
        <f>SUM(J207:J211)</f>
        <v>0</v>
      </c>
      <c r="K213" s="233">
        <f>I213+J213</f>
        <v>0</v>
      </c>
      <c r="L213" s="231">
        <f>SUM(L207:L211)</f>
        <v>0</v>
      </c>
      <c r="M213" s="232">
        <f>SUM(M207:M211)</f>
        <v>0</v>
      </c>
      <c r="N213" s="233">
        <f>L213+M213</f>
        <v>0</v>
      </c>
      <c r="O213" s="251">
        <f>E213+H213+K213+N213</f>
        <v>0</v>
      </c>
      <c r="P213" s="778"/>
      <c r="Q213" s="778"/>
    </row>
    <row r="214" spans="1:18" ht="20.100000000000001" customHeight="1">
      <c r="A214" s="1538" t="s">
        <v>980</v>
      </c>
      <c r="B214" s="1539"/>
      <c r="C214" s="822">
        <f t="shared" ref="C214:O214" si="185">C122+C139+C148+C156+C170+C189+C197+C205+C213+C178</f>
        <v>301.75599999999997</v>
      </c>
      <c r="D214" s="822">
        <f t="shared" si="185"/>
        <v>0</v>
      </c>
      <c r="E214" s="822">
        <f t="shared" si="185"/>
        <v>301.75599999999997</v>
      </c>
      <c r="F214" s="822">
        <f t="shared" si="185"/>
        <v>60.677399999999992</v>
      </c>
      <c r="G214" s="822">
        <f t="shared" si="185"/>
        <v>0</v>
      </c>
      <c r="H214" s="822">
        <f t="shared" si="185"/>
        <v>60.677399999999992</v>
      </c>
      <c r="I214" s="822">
        <f t="shared" si="185"/>
        <v>0</v>
      </c>
      <c r="J214" s="822">
        <f t="shared" si="185"/>
        <v>0</v>
      </c>
      <c r="K214" s="822">
        <f t="shared" si="185"/>
        <v>0</v>
      </c>
      <c r="L214" s="822">
        <f t="shared" si="185"/>
        <v>0</v>
      </c>
      <c r="M214" s="822">
        <f t="shared" si="185"/>
        <v>0</v>
      </c>
      <c r="N214" s="822">
        <f t="shared" si="185"/>
        <v>0</v>
      </c>
      <c r="O214" s="822">
        <f t="shared" si="185"/>
        <v>362.43340000000001</v>
      </c>
      <c r="P214" s="777"/>
      <c r="Q214" s="777"/>
    </row>
    <row r="215" spans="1:18" ht="26.25" customHeight="1">
      <c r="A215" s="1532" t="s">
        <v>982</v>
      </c>
      <c r="B215" s="1532"/>
      <c r="C215" s="798">
        <f t="shared" ref="C215:O215" si="186">C214+C107</f>
        <v>580.35359999999991</v>
      </c>
      <c r="D215" s="798">
        <f t="shared" si="186"/>
        <v>0</v>
      </c>
      <c r="E215" s="798">
        <f t="shared" si="186"/>
        <v>525.06219999999996</v>
      </c>
      <c r="F215" s="798">
        <f t="shared" si="186"/>
        <v>173.70699999999999</v>
      </c>
      <c r="G215" s="798">
        <f t="shared" si="186"/>
        <v>103.213475</v>
      </c>
      <c r="H215" s="798">
        <f t="shared" si="186"/>
        <v>276.92047500000001</v>
      </c>
      <c r="I215" s="798">
        <f t="shared" si="186"/>
        <v>123.46280000000002</v>
      </c>
      <c r="J215" s="798">
        <f t="shared" si="186"/>
        <v>0</v>
      </c>
      <c r="K215" s="798">
        <f t="shared" si="186"/>
        <v>123.46280000000002</v>
      </c>
      <c r="L215" s="798">
        <f t="shared" si="186"/>
        <v>71.668000000000006</v>
      </c>
      <c r="M215" s="798">
        <f t="shared" si="186"/>
        <v>0</v>
      </c>
      <c r="N215" s="798">
        <f t="shared" si="186"/>
        <v>71.668000000000006</v>
      </c>
      <c r="O215" s="798">
        <f t="shared" si="186"/>
        <v>997.11347499999999</v>
      </c>
      <c r="P215" s="781"/>
      <c r="Q215" s="781"/>
    </row>
    <row r="219" spans="1:18">
      <c r="O219" s="789">
        <f>O215*0.35</f>
        <v>348.98971624999996</v>
      </c>
      <c r="Q219" s="786">
        <f>O219*1.1</f>
        <v>383.88868787499996</v>
      </c>
      <c r="R219" s="973">
        <f>+Q219-O219</f>
        <v>34.898971625000001</v>
      </c>
    </row>
    <row r="220" spans="1:18">
      <c r="O220" s="787">
        <f>O215-O219</f>
        <v>648.12375874999998</v>
      </c>
      <c r="Q220" s="1">
        <v>648.12400000000002</v>
      </c>
    </row>
    <row r="221" spans="1:18">
      <c r="O221" s="787">
        <f>+O220+O219</f>
        <v>997.11347499999988</v>
      </c>
      <c r="Q221" s="786">
        <f>+Q220+Q219</f>
        <v>1032.012687875</v>
      </c>
    </row>
  </sheetData>
  <mergeCells count="87">
    <mergeCell ref="S8:U8"/>
    <mergeCell ref="N1:O1"/>
    <mergeCell ref="A215:B215"/>
    <mergeCell ref="A2:O2"/>
    <mergeCell ref="B3:H3"/>
    <mergeCell ref="C4:O4"/>
    <mergeCell ref="A6:B8"/>
    <mergeCell ref="C6:O6"/>
    <mergeCell ref="C7:E7"/>
    <mergeCell ref="F7:H7"/>
    <mergeCell ref="I7:K7"/>
    <mergeCell ref="L7:N7"/>
    <mergeCell ref="O7:O8"/>
    <mergeCell ref="A9:B9"/>
    <mergeCell ref="C9:E9"/>
    <mergeCell ref="F9:H9"/>
    <mergeCell ref="A171:O171"/>
    <mergeCell ref="A34:O34"/>
    <mergeCell ref="I9:K9"/>
    <mergeCell ref="L9:N9"/>
    <mergeCell ref="A16:B16"/>
    <mergeCell ref="A17:B17"/>
    <mergeCell ref="A33:B33"/>
    <mergeCell ref="A42:B42"/>
    <mergeCell ref="A107:B107"/>
    <mergeCell ref="A50:B50"/>
    <mergeCell ref="A51:B51"/>
    <mergeCell ref="A64:B64"/>
    <mergeCell ref="A75:B75"/>
    <mergeCell ref="A82:B82"/>
    <mergeCell ref="A83:B83"/>
    <mergeCell ref="A90:B90"/>
    <mergeCell ref="A43:O43"/>
    <mergeCell ref="A65:O65"/>
    <mergeCell ref="C115:E115"/>
    <mergeCell ref="F115:H115"/>
    <mergeCell ref="I115:K115"/>
    <mergeCell ref="L115:N115"/>
    <mergeCell ref="A112:B114"/>
    <mergeCell ref="C112:O112"/>
    <mergeCell ref="C113:E113"/>
    <mergeCell ref="F113:H113"/>
    <mergeCell ref="I113:K113"/>
    <mergeCell ref="L113:N113"/>
    <mergeCell ref="O113:O114"/>
    <mergeCell ref="A71:B71"/>
    <mergeCell ref="C72:O72"/>
    <mergeCell ref="C73:E73"/>
    <mergeCell ref="A122:B122"/>
    <mergeCell ref="A115:B115"/>
    <mergeCell ref="A189:B189"/>
    <mergeCell ref="A190:B190"/>
    <mergeCell ref="A197:B197"/>
    <mergeCell ref="A123:B123"/>
    <mergeCell ref="A139:B139"/>
    <mergeCell ref="A140:B140"/>
    <mergeCell ref="A148:B148"/>
    <mergeCell ref="A149:B149"/>
    <mergeCell ref="A156:B156"/>
    <mergeCell ref="A179:B181"/>
    <mergeCell ref="A157:B157"/>
    <mergeCell ref="A170:B170"/>
    <mergeCell ref="A182:B182"/>
    <mergeCell ref="A178:B178"/>
    <mergeCell ref="A198:B198"/>
    <mergeCell ref="A205:B205"/>
    <mergeCell ref="A206:B206"/>
    <mergeCell ref="A213:B213"/>
    <mergeCell ref="A214:B214"/>
    <mergeCell ref="C179:O179"/>
    <mergeCell ref="C180:E180"/>
    <mergeCell ref="F180:H180"/>
    <mergeCell ref="I180:K180"/>
    <mergeCell ref="L180:N180"/>
    <mergeCell ref="O180:O181"/>
    <mergeCell ref="B109:H109"/>
    <mergeCell ref="C110:O110"/>
    <mergeCell ref="F73:H73"/>
    <mergeCell ref="I73:K73"/>
    <mergeCell ref="L73:N73"/>
    <mergeCell ref="O73:O74"/>
    <mergeCell ref="A108:O108"/>
    <mergeCell ref="A91:B91"/>
    <mergeCell ref="A98:B98"/>
    <mergeCell ref="A99:B99"/>
    <mergeCell ref="A106:B106"/>
    <mergeCell ref="A72:B74"/>
  </mergeCells>
  <printOptions horizontalCentered="1"/>
  <pageMargins left="0.25" right="0.25" top="0.5" bottom="0.5" header="0.5" footer="0.5"/>
  <pageSetup paperSize="9" scale="70" fitToWidth="0" fitToHeight="0" orientation="portrait" r:id="rId1"/>
  <headerFooter alignWithMargins="0"/>
  <rowBreaks count="3" manualBreakCount="3">
    <brk id="71" max="14" man="1"/>
    <brk id="107" max="14" man="1"/>
    <brk id="17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S88"/>
  <sheetViews>
    <sheetView tabSelected="1"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83" sqref="B83:K88"/>
    </sheetView>
  </sheetViews>
  <sheetFormatPr defaultRowHeight="12.75"/>
  <cols>
    <col min="1" max="1" width="6.42578125" style="150" customWidth="1"/>
    <col min="2" max="2" width="45.7109375" style="150" customWidth="1"/>
    <col min="3" max="3" width="13.7109375" style="150" customWidth="1"/>
    <col min="4" max="4" width="13.42578125" style="150" customWidth="1"/>
    <col min="5" max="5" width="10.85546875" style="150" bestFit="1" customWidth="1"/>
    <col min="6" max="6" width="11.7109375" style="150" bestFit="1" customWidth="1"/>
    <col min="7" max="7" width="13.7109375" style="150" customWidth="1"/>
    <col min="8" max="9" width="13.7109375" style="150" hidden="1" customWidth="1"/>
    <col min="10" max="10" width="10.85546875" style="150" bestFit="1" customWidth="1"/>
    <col min="11" max="11" width="12.85546875" style="565" bestFit="1" customWidth="1"/>
    <col min="12" max="12" width="10.28515625" style="150" bestFit="1" customWidth="1"/>
    <col min="13" max="13" width="10.42578125" style="150" bestFit="1" customWidth="1"/>
    <col min="14" max="14" width="10.28515625" style="150" bestFit="1" customWidth="1"/>
    <col min="15" max="15" width="9.140625" style="150"/>
    <col min="16" max="16" width="18.7109375" style="150" customWidth="1"/>
    <col min="17" max="253" width="9.140625" style="150"/>
    <col min="254" max="254" width="6.42578125" style="150" customWidth="1"/>
    <col min="255" max="255" width="45.5703125" style="150" customWidth="1"/>
    <col min="256" max="258" width="17.85546875" style="150" customWidth="1"/>
    <col min="259" max="259" width="1.28515625" style="150" customWidth="1"/>
    <col min="260" max="260" width="2.42578125" style="150" customWidth="1"/>
    <col min="261" max="261" width="6.85546875" style="150" customWidth="1"/>
    <col min="262" max="262" width="35.85546875" style="150" bestFit="1" customWidth="1"/>
    <col min="263" max="263" width="13.7109375" style="150" customWidth="1"/>
    <col min="264" max="264" width="6.85546875" style="150" customWidth="1"/>
    <col min="265" max="509" width="9.140625" style="150"/>
    <col min="510" max="510" width="6.42578125" style="150" customWidth="1"/>
    <col min="511" max="511" width="45.5703125" style="150" customWidth="1"/>
    <col min="512" max="514" width="17.85546875" style="150" customWidth="1"/>
    <col min="515" max="515" width="1.28515625" style="150" customWidth="1"/>
    <col min="516" max="516" width="2.42578125" style="150" customWidth="1"/>
    <col min="517" max="517" width="6.85546875" style="150" customWidth="1"/>
    <col min="518" max="518" width="35.85546875" style="150" bestFit="1" customWidth="1"/>
    <col min="519" max="519" width="13.7109375" style="150" customWidth="1"/>
    <col min="520" max="520" width="6.85546875" style="150" customWidth="1"/>
    <col min="521" max="765" width="9.140625" style="150"/>
    <col min="766" max="766" width="6.42578125" style="150" customWidth="1"/>
    <col min="767" max="767" width="45.5703125" style="150" customWidth="1"/>
    <col min="768" max="770" width="17.85546875" style="150" customWidth="1"/>
    <col min="771" max="771" width="1.28515625" style="150" customWidth="1"/>
    <col min="772" max="772" width="2.42578125" style="150" customWidth="1"/>
    <col min="773" max="773" width="6.85546875" style="150" customWidth="1"/>
    <col min="774" max="774" width="35.85546875" style="150" bestFit="1" customWidth="1"/>
    <col min="775" max="775" width="13.7109375" style="150" customWidth="1"/>
    <col min="776" max="776" width="6.85546875" style="150" customWidth="1"/>
    <col min="777" max="1021" width="9.140625" style="150"/>
    <col min="1022" max="1022" width="6.42578125" style="150" customWidth="1"/>
    <col min="1023" max="1023" width="45.5703125" style="150" customWidth="1"/>
    <col min="1024" max="1026" width="17.85546875" style="150" customWidth="1"/>
    <col min="1027" max="1027" width="1.28515625" style="150" customWidth="1"/>
    <col min="1028" max="1028" width="2.42578125" style="150" customWidth="1"/>
    <col min="1029" max="1029" width="6.85546875" style="150" customWidth="1"/>
    <col min="1030" max="1030" width="35.85546875" style="150" bestFit="1" customWidth="1"/>
    <col min="1031" max="1031" width="13.7109375" style="150" customWidth="1"/>
    <col min="1032" max="1032" width="6.85546875" style="150" customWidth="1"/>
    <col min="1033" max="1277" width="9.140625" style="150"/>
    <col min="1278" max="1278" width="6.42578125" style="150" customWidth="1"/>
    <col min="1279" max="1279" width="45.5703125" style="150" customWidth="1"/>
    <col min="1280" max="1282" width="17.85546875" style="150" customWidth="1"/>
    <col min="1283" max="1283" width="1.28515625" style="150" customWidth="1"/>
    <col min="1284" max="1284" width="2.42578125" style="150" customWidth="1"/>
    <col min="1285" max="1285" width="6.85546875" style="150" customWidth="1"/>
    <col min="1286" max="1286" width="35.85546875" style="150" bestFit="1" customWidth="1"/>
    <col min="1287" max="1287" width="13.7109375" style="150" customWidth="1"/>
    <col min="1288" max="1288" width="6.85546875" style="150" customWidth="1"/>
    <col min="1289" max="1533" width="9.140625" style="150"/>
    <col min="1534" max="1534" width="6.42578125" style="150" customWidth="1"/>
    <col min="1535" max="1535" width="45.5703125" style="150" customWidth="1"/>
    <col min="1536" max="1538" width="17.85546875" style="150" customWidth="1"/>
    <col min="1539" max="1539" width="1.28515625" style="150" customWidth="1"/>
    <col min="1540" max="1540" width="2.42578125" style="150" customWidth="1"/>
    <col min="1541" max="1541" width="6.85546875" style="150" customWidth="1"/>
    <col min="1542" max="1542" width="35.85546875" style="150" bestFit="1" customWidth="1"/>
    <col min="1543" max="1543" width="13.7109375" style="150" customWidth="1"/>
    <col min="1544" max="1544" width="6.85546875" style="150" customWidth="1"/>
    <col min="1545" max="1789" width="9.140625" style="150"/>
    <col min="1790" max="1790" width="6.42578125" style="150" customWidth="1"/>
    <col min="1791" max="1791" width="45.5703125" style="150" customWidth="1"/>
    <col min="1792" max="1794" width="17.85546875" style="150" customWidth="1"/>
    <col min="1795" max="1795" width="1.28515625" style="150" customWidth="1"/>
    <col min="1796" max="1796" width="2.42578125" style="150" customWidth="1"/>
    <col min="1797" max="1797" width="6.85546875" style="150" customWidth="1"/>
    <col min="1798" max="1798" width="35.85546875" style="150" bestFit="1" customWidth="1"/>
    <col min="1799" max="1799" width="13.7109375" style="150" customWidth="1"/>
    <col min="1800" max="1800" width="6.85546875" style="150" customWidth="1"/>
    <col min="1801" max="2045" width="9.140625" style="150"/>
    <col min="2046" max="2046" width="6.42578125" style="150" customWidth="1"/>
    <col min="2047" max="2047" width="45.5703125" style="150" customWidth="1"/>
    <col min="2048" max="2050" width="17.85546875" style="150" customWidth="1"/>
    <col min="2051" max="2051" width="1.28515625" style="150" customWidth="1"/>
    <col min="2052" max="2052" width="2.42578125" style="150" customWidth="1"/>
    <col min="2053" max="2053" width="6.85546875" style="150" customWidth="1"/>
    <col min="2054" max="2054" width="35.85546875" style="150" bestFit="1" customWidth="1"/>
    <col min="2055" max="2055" width="13.7109375" style="150" customWidth="1"/>
    <col min="2056" max="2056" width="6.85546875" style="150" customWidth="1"/>
    <col min="2057" max="2301" width="9.140625" style="150"/>
    <col min="2302" max="2302" width="6.42578125" style="150" customWidth="1"/>
    <col min="2303" max="2303" width="45.5703125" style="150" customWidth="1"/>
    <col min="2304" max="2306" width="17.85546875" style="150" customWidth="1"/>
    <col min="2307" max="2307" width="1.28515625" style="150" customWidth="1"/>
    <col min="2308" max="2308" width="2.42578125" style="150" customWidth="1"/>
    <col min="2309" max="2309" width="6.85546875" style="150" customWidth="1"/>
    <col min="2310" max="2310" width="35.85546875" style="150" bestFit="1" customWidth="1"/>
    <col min="2311" max="2311" width="13.7109375" style="150" customWidth="1"/>
    <col min="2312" max="2312" width="6.85546875" style="150" customWidth="1"/>
    <col min="2313" max="2557" width="9.140625" style="150"/>
    <col min="2558" max="2558" width="6.42578125" style="150" customWidth="1"/>
    <col min="2559" max="2559" width="45.5703125" style="150" customWidth="1"/>
    <col min="2560" max="2562" width="17.85546875" style="150" customWidth="1"/>
    <col min="2563" max="2563" width="1.28515625" style="150" customWidth="1"/>
    <col min="2564" max="2564" width="2.42578125" style="150" customWidth="1"/>
    <col min="2565" max="2565" width="6.85546875" style="150" customWidth="1"/>
    <col min="2566" max="2566" width="35.85546875" style="150" bestFit="1" customWidth="1"/>
    <col min="2567" max="2567" width="13.7109375" style="150" customWidth="1"/>
    <col min="2568" max="2568" width="6.85546875" style="150" customWidth="1"/>
    <col min="2569" max="2813" width="9.140625" style="150"/>
    <col min="2814" max="2814" width="6.42578125" style="150" customWidth="1"/>
    <col min="2815" max="2815" width="45.5703125" style="150" customWidth="1"/>
    <col min="2816" max="2818" width="17.85546875" style="150" customWidth="1"/>
    <col min="2819" max="2819" width="1.28515625" style="150" customWidth="1"/>
    <col min="2820" max="2820" width="2.42578125" style="150" customWidth="1"/>
    <col min="2821" max="2821" width="6.85546875" style="150" customWidth="1"/>
    <col min="2822" max="2822" width="35.85546875" style="150" bestFit="1" customWidth="1"/>
    <col min="2823" max="2823" width="13.7109375" style="150" customWidth="1"/>
    <col min="2824" max="2824" width="6.85546875" style="150" customWidth="1"/>
    <col min="2825" max="3069" width="9.140625" style="150"/>
    <col min="3070" max="3070" width="6.42578125" style="150" customWidth="1"/>
    <col min="3071" max="3071" width="45.5703125" style="150" customWidth="1"/>
    <col min="3072" max="3074" width="17.85546875" style="150" customWidth="1"/>
    <col min="3075" max="3075" width="1.28515625" style="150" customWidth="1"/>
    <col min="3076" max="3076" width="2.42578125" style="150" customWidth="1"/>
    <col min="3077" max="3077" width="6.85546875" style="150" customWidth="1"/>
    <col min="3078" max="3078" width="35.85546875" style="150" bestFit="1" customWidth="1"/>
    <col min="3079" max="3079" width="13.7109375" style="150" customWidth="1"/>
    <col min="3080" max="3080" width="6.85546875" style="150" customWidth="1"/>
    <col min="3081" max="3325" width="9.140625" style="150"/>
    <col min="3326" max="3326" width="6.42578125" style="150" customWidth="1"/>
    <col min="3327" max="3327" width="45.5703125" style="150" customWidth="1"/>
    <col min="3328" max="3330" width="17.85546875" style="150" customWidth="1"/>
    <col min="3331" max="3331" width="1.28515625" style="150" customWidth="1"/>
    <col min="3332" max="3332" width="2.42578125" style="150" customWidth="1"/>
    <col min="3333" max="3333" width="6.85546875" style="150" customWidth="1"/>
    <col min="3334" max="3334" width="35.85546875" style="150" bestFit="1" customWidth="1"/>
    <col min="3335" max="3335" width="13.7109375" style="150" customWidth="1"/>
    <col min="3336" max="3336" width="6.85546875" style="150" customWidth="1"/>
    <col min="3337" max="3581" width="9.140625" style="150"/>
    <col min="3582" max="3582" width="6.42578125" style="150" customWidth="1"/>
    <col min="3583" max="3583" width="45.5703125" style="150" customWidth="1"/>
    <col min="3584" max="3586" width="17.85546875" style="150" customWidth="1"/>
    <col min="3587" max="3587" width="1.28515625" style="150" customWidth="1"/>
    <col min="3588" max="3588" width="2.42578125" style="150" customWidth="1"/>
    <col min="3589" max="3589" width="6.85546875" style="150" customWidth="1"/>
    <col min="3590" max="3590" width="35.85546875" style="150" bestFit="1" customWidth="1"/>
    <col min="3591" max="3591" width="13.7109375" style="150" customWidth="1"/>
    <col min="3592" max="3592" width="6.85546875" style="150" customWidth="1"/>
    <col min="3593" max="3837" width="9.140625" style="150"/>
    <col min="3838" max="3838" width="6.42578125" style="150" customWidth="1"/>
    <col min="3839" max="3839" width="45.5703125" style="150" customWidth="1"/>
    <col min="3840" max="3842" width="17.85546875" style="150" customWidth="1"/>
    <col min="3843" max="3843" width="1.28515625" style="150" customWidth="1"/>
    <col min="3844" max="3844" width="2.42578125" style="150" customWidth="1"/>
    <col min="3845" max="3845" width="6.85546875" style="150" customWidth="1"/>
    <col min="3846" max="3846" width="35.85546875" style="150" bestFit="1" customWidth="1"/>
    <col min="3847" max="3847" width="13.7109375" style="150" customWidth="1"/>
    <col min="3848" max="3848" width="6.85546875" style="150" customWidth="1"/>
    <col min="3849" max="4093" width="9.140625" style="150"/>
    <col min="4094" max="4094" width="6.42578125" style="150" customWidth="1"/>
    <col min="4095" max="4095" width="45.5703125" style="150" customWidth="1"/>
    <col min="4096" max="4098" width="17.85546875" style="150" customWidth="1"/>
    <col min="4099" max="4099" width="1.28515625" style="150" customWidth="1"/>
    <col min="4100" max="4100" width="2.42578125" style="150" customWidth="1"/>
    <col min="4101" max="4101" width="6.85546875" style="150" customWidth="1"/>
    <col min="4102" max="4102" width="35.85546875" style="150" bestFit="1" customWidth="1"/>
    <col min="4103" max="4103" width="13.7109375" style="150" customWidth="1"/>
    <col min="4104" max="4104" width="6.85546875" style="150" customWidth="1"/>
    <col min="4105" max="4349" width="9.140625" style="150"/>
    <col min="4350" max="4350" width="6.42578125" style="150" customWidth="1"/>
    <col min="4351" max="4351" width="45.5703125" style="150" customWidth="1"/>
    <col min="4352" max="4354" width="17.85546875" style="150" customWidth="1"/>
    <col min="4355" max="4355" width="1.28515625" style="150" customWidth="1"/>
    <col min="4356" max="4356" width="2.42578125" style="150" customWidth="1"/>
    <col min="4357" max="4357" width="6.85546875" style="150" customWidth="1"/>
    <col min="4358" max="4358" width="35.85546875" style="150" bestFit="1" customWidth="1"/>
    <col min="4359" max="4359" width="13.7109375" style="150" customWidth="1"/>
    <col min="4360" max="4360" width="6.85546875" style="150" customWidth="1"/>
    <col min="4361" max="4605" width="9.140625" style="150"/>
    <col min="4606" max="4606" width="6.42578125" style="150" customWidth="1"/>
    <col min="4607" max="4607" width="45.5703125" style="150" customWidth="1"/>
    <col min="4608" max="4610" width="17.85546875" style="150" customWidth="1"/>
    <col min="4611" max="4611" width="1.28515625" style="150" customWidth="1"/>
    <col min="4612" max="4612" width="2.42578125" style="150" customWidth="1"/>
    <col min="4613" max="4613" width="6.85546875" style="150" customWidth="1"/>
    <col min="4614" max="4614" width="35.85546875" style="150" bestFit="1" customWidth="1"/>
    <col min="4615" max="4615" width="13.7109375" style="150" customWidth="1"/>
    <col min="4616" max="4616" width="6.85546875" style="150" customWidth="1"/>
    <col min="4617" max="4861" width="9.140625" style="150"/>
    <col min="4862" max="4862" width="6.42578125" style="150" customWidth="1"/>
    <col min="4863" max="4863" width="45.5703125" style="150" customWidth="1"/>
    <col min="4864" max="4866" width="17.85546875" style="150" customWidth="1"/>
    <col min="4867" max="4867" width="1.28515625" style="150" customWidth="1"/>
    <col min="4868" max="4868" width="2.42578125" style="150" customWidth="1"/>
    <col min="4869" max="4869" width="6.85546875" style="150" customWidth="1"/>
    <col min="4870" max="4870" width="35.85546875" style="150" bestFit="1" customWidth="1"/>
    <col min="4871" max="4871" width="13.7109375" style="150" customWidth="1"/>
    <col min="4872" max="4872" width="6.85546875" style="150" customWidth="1"/>
    <col min="4873" max="5117" width="9.140625" style="150"/>
    <col min="5118" max="5118" width="6.42578125" style="150" customWidth="1"/>
    <col min="5119" max="5119" width="45.5703125" style="150" customWidth="1"/>
    <col min="5120" max="5122" width="17.85546875" style="150" customWidth="1"/>
    <col min="5123" max="5123" width="1.28515625" style="150" customWidth="1"/>
    <col min="5124" max="5124" width="2.42578125" style="150" customWidth="1"/>
    <col min="5125" max="5125" width="6.85546875" style="150" customWidth="1"/>
    <col min="5126" max="5126" width="35.85546875" style="150" bestFit="1" customWidth="1"/>
    <col min="5127" max="5127" width="13.7109375" style="150" customWidth="1"/>
    <col min="5128" max="5128" width="6.85546875" style="150" customWidth="1"/>
    <col min="5129" max="5373" width="9.140625" style="150"/>
    <col min="5374" max="5374" width="6.42578125" style="150" customWidth="1"/>
    <col min="5375" max="5375" width="45.5703125" style="150" customWidth="1"/>
    <col min="5376" max="5378" width="17.85546875" style="150" customWidth="1"/>
    <col min="5379" max="5379" width="1.28515625" style="150" customWidth="1"/>
    <col min="5380" max="5380" width="2.42578125" style="150" customWidth="1"/>
    <col min="5381" max="5381" width="6.85546875" style="150" customWidth="1"/>
    <col min="5382" max="5382" width="35.85546875" style="150" bestFit="1" customWidth="1"/>
    <col min="5383" max="5383" width="13.7109375" style="150" customWidth="1"/>
    <col min="5384" max="5384" width="6.85546875" style="150" customWidth="1"/>
    <col min="5385" max="5629" width="9.140625" style="150"/>
    <col min="5630" max="5630" width="6.42578125" style="150" customWidth="1"/>
    <col min="5631" max="5631" width="45.5703125" style="150" customWidth="1"/>
    <col min="5632" max="5634" width="17.85546875" style="150" customWidth="1"/>
    <col min="5635" max="5635" width="1.28515625" style="150" customWidth="1"/>
    <col min="5636" max="5636" width="2.42578125" style="150" customWidth="1"/>
    <col min="5637" max="5637" width="6.85546875" style="150" customWidth="1"/>
    <col min="5638" max="5638" width="35.85546875" style="150" bestFit="1" customWidth="1"/>
    <col min="5639" max="5639" width="13.7109375" style="150" customWidth="1"/>
    <col min="5640" max="5640" width="6.85546875" style="150" customWidth="1"/>
    <col min="5641" max="5885" width="9.140625" style="150"/>
    <col min="5886" max="5886" width="6.42578125" style="150" customWidth="1"/>
    <col min="5887" max="5887" width="45.5703125" style="150" customWidth="1"/>
    <col min="5888" max="5890" width="17.85546875" style="150" customWidth="1"/>
    <col min="5891" max="5891" width="1.28515625" style="150" customWidth="1"/>
    <col min="5892" max="5892" width="2.42578125" style="150" customWidth="1"/>
    <col min="5893" max="5893" width="6.85546875" style="150" customWidth="1"/>
    <col min="5894" max="5894" width="35.85546875" style="150" bestFit="1" customWidth="1"/>
    <col min="5895" max="5895" width="13.7109375" style="150" customWidth="1"/>
    <col min="5896" max="5896" width="6.85546875" style="150" customWidth="1"/>
    <col min="5897" max="6141" width="9.140625" style="150"/>
    <col min="6142" max="6142" width="6.42578125" style="150" customWidth="1"/>
    <col min="6143" max="6143" width="45.5703125" style="150" customWidth="1"/>
    <col min="6144" max="6146" width="17.85546875" style="150" customWidth="1"/>
    <col min="6147" max="6147" width="1.28515625" style="150" customWidth="1"/>
    <col min="6148" max="6148" width="2.42578125" style="150" customWidth="1"/>
    <col min="6149" max="6149" width="6.85546875" style="150" customWidth="1"/>
    <col min="6150" max="6150" width="35.85546875" style="150" bestFit="1" customWidth="1"/>
    <col min="6151" max="6151" width="13.7109375" style="150" customWidth="1"/>
    <col min="6152" max="6152" width="6.85546875" style="150" customWidth="1"/>
    <col min="6153" max="6397" width="9.140625" style="150"/>
    <col min="6398" max="6398" width="6.42578125" style="150" customWidth="1"/>
    <col min="6399" max="6399" width="45.5703125" style="150" customWidth="1"/>
    <col min="6400" max="6402" width="17.85546875" style="150" customWidth="1"/>
    <col min="6403" max="6403" width="1.28515625" style="150" customWidth="1"/>
    <col min="6404" max="6404" width="2.42578125" style="150" customWidth="1"/>
    <col min="6405" max="6405" width="6.85546875" style="150" customWidth="1"/>
    <col min="6406" max="6406" width="35.85546875" style="150" bestFit="1" customWidth="1"/>
    <col min="6407" max="6407" width="13.7109375" style="150" customWidth="1"/>
    <col min="6408" max="6408" width="6.85546875" style="150" customWidth="1"/>
    <col min="6409" max="6653" width="9.140625" style="150"/>
    <col min="6654" max="6654" width="6.42578125" style="150" customWidth="1"/>
    <col min="6655" max="6655" width="45.5703125" style="150" customWidth="1"/>
    <col min="6656" max="6658" width="17.85546875" style="150" customWidth="1"/>
    <col min="6659" max="6659" width="1.28515625" style="150" customWidth="1"/>
    <col min="6660" max="6660" width="2.42578125" style="150" customWidth="1"/>
    <col min="6661" max="6661" width="6.85546875" style="150" customWidth="1"/>
    <col min="6662" max="6662" width="35.85546875" style="150" bestFit="1" customWidth="1"/>
    <col min="6663" max="6663" width="13.7109375" style="150" customWidth="1"/>
    <col min="6664" max="6664" width="6.85546875" style="150" customWidth="1"/>
    <col min="6665" max="6909" width="9.140625" style="150"/>
    <col min="6910" max="6910" width="6.42578125" style="150" customWidth="1"/>
    <col min="6911" max="6911" width="45.5703125" style="150" customWidth="1"/>
    <col min="6912" max="6914" width="17.85546875" style="150" customWidth="1"/>
    <col min="6915" max="6915" width="1.28515625" style="150" customWidth="1"/>
    <col min="6916" max="6916" width="2.42578125" style="150" customWidth="1"/>
    <col min="6917" max="6917" width="6.85546875" style="150" customWidth="1"/>
    <col min="6918" max="6918" width="35.85546875" style="150" bestFit="1" customWidth="1"/>
    <col min="6919" max="6919" width="13.7109375" style="150" customWidth="1"/>
    <col min="6920" max="6920" width="6.85546875" style="150" customWidth="1"/>
    <col min="6921" max="7165" width="9.140625" style="150"/>
    <col min="7166" max="7166" width="6.42578125" style="150" customWidth="1"/>
    <col min="7167" max="7167" width="45.5703125" style="150" customWidth="1"/>
    <col min="7168" max="7170" width="17.85546875" style="150" customWidth="1"/>
    <col min="7171" max="7171" width="1.28515625" style="150" customWidth="1"/>
    <col min="7172" max="7172" width="2.42578125" style="150" customWidth="1"/>
    <col min="7173" max="7173" width="6.85546875" style="150" customWidth="1"/>
    <col min="7174" max="7174" width="35.85546875" style="150" bestFit="1" customWidth="1"/>
    <col min="7175" max="7175" width="13.7109375" style="150" customWidth="1"/>
    <col min="7176" max="7176" width="6.85546875" style="150" customWidth="1"/>
    <col min="7177" max="7421" width="9.140625" style="150"/>
    <col min="7422" max="7422" width="6.42578125" style="150" customWidth="1"/>
    <col min="7423" max="7423" width="45.5703125" style="150" customWidth="1"/>
    <col min="7424" max="7426" width="17.85546875" style="150" customWidth="1"/>
    <col min="7427" max="7427" width="1.28515625" style="150" customWidth="1"/>
    <col min="7428" max="7428" width="2.42578125" style="150" customWidth="1"/>
    <col min="7429" max="7429" width="6.85546875" style="150" customWidth="1"/>
    <col min="7430" max="7430" width="35.85546875" style="150" bestFit="1" customWidth="1"/>
    <col min="7431" max="7431" width="13.7109375" style="150" customWidth="1"/>
    <col min="7432" max="7432" width="6.85546875" style="150" customWidth="1"/>
    <col min="7433" max="7677" width="9.140625" style="150"/>
    <col min="7678" max="7678" width="6.42578125" style="150" customWidth="1"/>
    <col min="7679" max="7679" width="45.5703125" style="150" customWidth="1"/>
    <col min="7680" max="7682" width="17.85546875" style="150" customWidth="1"/>
    <col min="7683" max="7683" width="1.28515625" style="150" customWidth="1"/>
    <col min="7684" max="7684" width="2.42578125" style="150" customWidth="1"/>
    <col min="7685" max="7685" width="6.85546875" style="150" customWidth="1"/>
    <col min="7686" max="7686" width="35.85546875" style="150" bestFit="1" customWidth="1"/>
    <col min="7687" max="7687" width="13.7109375" style="150" customWidth="1"/>
    <col min="7688" max="7688" width="6.85546875" style="150" customWidth="1"/>
    <col min="7689" max="7933" width="9.140625" style="150"/>
    <col min="7934" max="7934" width="6.42578125" style="150" customWidth="1"/>
    <col min="7935" max="7935" width="45.5703125" style="150" customWidth="1"/>
    <col min="7936" max="7938" width="17.85546875" style="150" customWidth="1"/>
    <col min="7939" max="7939" width="1.28515625" style="150" customWidth="1"/>
    <col min="7940" max="7940" width="2.42578125" style="150" customWidth="1"/>
    <col min="7941" max="7941" width="6.85546875" style="150" customWidth="1"/>
    <col min="7942" max="7942" width="35.85546875" style="150" bestFit="1" customWidth="1"/>
    <col min="7943" max="7943" width="13.7109375" style="150" customWidth="1"/>
    <col min="7944" max="7944" width="6.85546875" style="150" customWidth="1"/>
    <col min="7945" max="8189" width="9.140625" style="150"/>
    <col min="8190" max="8190" width="6.42578125" style="150" customWidth="1"/>
    <col min="8191" max="8191" width="45.5703125" style="150" customWidth="1"/>
    <col min="8192" max="8194" width="17.85546875" style="150" customWidth="1"/>
    <col min="8195" max="8195" width="1.28515625" style="150" customWidth="1"/>
    <col min="8196" max="8196" width="2.42578125" style="150" customWidth="1"/>
    <col min="8197" max="8197" width="6.85546875" style="150" customWidth="1"/>
    <col min="8198" max="8198" width="35.85546875" style="150" bestFit="1" customWidth="1"/>
    <col min="8199" max="8199" width="13.7109375" style="150" customWidth="1"/>
    <col min="8200" max="8200" width="6.85546875" style="150" customWidth="1"/>
    <col min="8201" max="8445" width="9.140625" style="150"/>
    <col min="8446" max="8446" width="6.42578125" style="150" customWidth="1"/>
    <col min="8447" max="8447" width="45.5703125" style="150" customWidth="1"/>
    <col min="8448" max="8450" width="17.85546875" style="150" customWidth="1"/>
    <col min="8451" max="8451" width="1.28515625" style="150" customWidth="1"/>
    <col min="8452" max="8452" width="2.42578125" style="150" customWidth="1"/>
    <col min="8453" max="8453" width="6.85546875" style="150" customWidth="1"/>
    <col min="8454" max="8454" width="35.85546875" style="150" bestFit="1" customWidth="1"/>
    <col min="8455" max="8455" width="13.7109375" style="150" customWidth="1"/>
    <col min="8456" max="8456" width="6.85546875" style="150" customWidth="1"/>
    <col min="8457" max="8701" width="9.140625" style="150"/>
    <col min="8702" max="8702" width="6.42578125" style="150" customWidth="1"/>
    <col min="8703" max="8703" width="45.5703125" style="150" customWidth="1"/>
    <col min="8704" max="8706" width="17.85546875" style="150" customWidth="1"/>
    <col min="8707" max="8707" width="1.28515625" style="150" customWidth="1"/>
    <col min="8708" max="8708" width="2.42578125" style="150" customWidth="1"/>
    <col min="8709" max="8709" width="6.85546875" style="150" customWidth="1"/>
    <col min="8710" max="8710" width="35.85546875" style="150" bestFit="1" customWidth="1"/>
    <col min="8711" max="8711" width="13.7109375" style="150" customWidth="1"/>
    <col min="8712" max="8712" width="6.85546875" style="150" customWidth="1"/>
    <col min="8713" max="8957" width="9.140625" style="150"/>
    <col min="8958" max="8958" width="6.42578125" style="150" customWidth="1"/>
    <col min="8959" max="8959" width="45.5703125" style="150" customWidth="1"/>
    <col min="8960" max="8962" width="17.85546875" style="150" customWidth="1"/>
    <col min="8963" max="8963" width="1.28515625" style="150" customWidth="1"/>
    <col min="8964" max="8964" width="2.42578125" style="150" customWidth="1"/>
    <col min="8965" max="8965" width="6.85546875" style="150" customWidth="1"/>
    <col min="8966" max="8966" width="35.85546875" style="150" bestFit="1" customWidth="1"/>
    <col min="8967" max="8967" width="13.7109375" style="150" customWidth="1"/>
    <col min="8968" max="8968" width="6.85546875" style="150" customWidth="1"/>
    <col min="8969" max="9213" width="9.140625" style="150"/>
    <col min="9214" max="9214" width="6.42578125" style="150" customWidth="1"/>
    <col min="9215" max="9215" width="45.5703125" style="150" customWidth="1"/>
    <col min="9216" max="9218" width="17.85546875" style="150" customWidth="1"/>
    <col min="9219" max="9219" width="1.28515625" style="150" customWidth="1"/>
    <col min="9220" max="9220" width="2.42578125" style="150" customWidth="1"/>
    <col min="9221" max="9221" width="6.85546875" style="150" customWidth="1"/>
    <col min="9222" max="9222" width="35.85546875" style="150" bestFit="1" customWidth="1"/>
    <col min="9223" max="9223" width="13.7109375" style="150" customWidth="1"/>
    <col min="9224" max="9224" width="6.85546875" style="150" customWidth="1"/>
    <col min="9225" max="9469" width="9.140625" style="150"/>
    <col min="9470" max="9470" width="6.42578125" style="150" customWidth="1"/>
    <col min="9471" max="9471" width="45.5703125" style="150" customWidth="1"/>
    <col min="9472" max="9474" width="17.85546875" style="150" customWidth="1"/>
    <col min="9475" max="9475" width="1.28515625" style="150" customWidth="1"/>
    <col min="9476" max="9476" width="2.42578125" style="150" customWidth="1"/>
    <col min="9477" max="9477" width="6.85546875" style="150" customWidth="1"/>
    <col min="9478" max="9478" width="35.85546875" style="150" bestFit="1" customWidth="1"/>
    <col min="9479" max="9479" width="13.7109375" style="150" customWidth="1"/>
    <col min="9480" max="9480" width="6.85546875" style="150" customWidth="1"/>
    <col min="9481" max="9725" width="9.140625" style="150"/>
    <col min="9726" max="9726" width="6.42578125" style="150" customWidth="1"/>
    <col min="9727" max="9727" width="45.5703125" style="150" customWidth="1"/>
    <col min="9728" max="9730" width="17.85546875" style="150" customWidth="1"/>
    <col min="9731" max="9731" width="1.28515625" style="150" customWidth="1"/>
    <col min="9732" max="9732" width="2.42578125" style="150" customWidth="1"/>
    <col min="9733" max="9733" width="6.85546875" style="150" customWidth="1"/>
    <col min="9734" max="9734" width="35.85546875" style="150" bestFit="1" customWidth="1"/>
    <col min="9735" max="9735" width="13.7109375" style="150" customWidth="1"/>
    <col min="9736" max="9736" width="6.85546875" style="150" customWidth="1"/>
    <col min="9737" max="9981" width="9.140625" style="150"/>
    <col min="9982" max="9982" width="6.42578125" style="150" customWidth="1"/>
    <col min="9983" max="9983" width="45.5703125" style="150" customWidth="1"/>
    <col min="9984" max="9986" width="17.85546875" style="150" customWidth="1"/>
    <col min="9987" max="9987" width="1.28515625" style="150" customWidth="1"/>
    <col min="9988" max="9988" width="2.42578125" style="150" customWidth="1"/>
    <col min="9989" max="9989" width="6.85546875" style="150" customWidth="1"/>
    <col min="9990" max="9990" width="35.85546875" style="150" bestFit="1" customWidth="1"/>
    <col min="9991" max="9991" width="13.7109375" style="150" customWidth="1"/>
    <col min="9992" max="9992" width="6.85546875" style="150" customWidth="1"/>
    <col min="9993" max="10237" width="9.140625" style="150"/>
    <col min="10238" max="10238" width="6.42578125" style="150" customWidth="1"/>
    <col min="10239" max="10239" width="45.5703125" style="150" customWidth="1"/>
    <col min="10240" max="10242" width="17.85546875" style="150" customWidth="1"/>
    <col min="10243" max="10243" width="1.28515625" style="150" customWidth="1"/>
    <col min="10244" max="10244" width="2.42578125" style="150" customWidth="1"/>
    <col min="10245" max="10245" width="6.85546875" style="150" customWidth="1"/>
    <col min="10246" max="10246" width="35.85546875" style="150" bestFit="1" customWidth="1"/>
    <col min="10247" max="10247" width="13.7109375" style="150" customWidth="1"/>
    <col min="10248" max="10248" width="6.85546875" style="150" customWidth="1"/>
    <col min="10249" max="10493" width="9.140625" style="150"/>
    <col min="10494" max="10494" width="6.42578125" style="150" customWidth="1"/>
    <col min="10495" max="10495" width="45.5703125" style="150" customWidth="1"/>
    <col min="10496" max="10498" width="17.85546875" style="150" customWidth="1"/>
    <col min="10499" max="10499" width="1.28515625" style="150" customWidth="1"/>
    <col min="10500" max="10500" width="2.42578125" style="150" customWidth="1"/>
    <col min="10501" max="10501" width="6.85546875" style="150" customWidth="1"/>
    <col min="10502" max="10502" width="35.85546875" style="150" bestFit="1" customWidth="1"/>
    <col min="10503" max="10503" width="13.7109375" style="150" customWidth="1"/>
    <col min="10504" max="10504" width="6.85546875" style="150" customWidth="1"/>
    <col min="10505" max="10749" width="9.140625" style="150"/>
    <col min="10750" max="10750" width="6.42578125" style="150" customWidth="1"/>
    <col min="10751" max="10751" width="45.5703125" style="150" customWidth="1"/>
    <col min="10752" max="10754" width="17.85546875" style="150" customWidth="1"/>
    <col min="10755" max="10755" width="1.28515625" style="150" customWidth="1"/>
    <col min="10756" max="10756" width="2.42578125" style="150" customWidth="1"/>
    <col min="10757" max="10757" width="6.85546875" style="150" customWidth="1"/>
    <col min="10758" max="10758" width="35.85546875" style="150" bestFit="1" customWidth="1"/>
    <col min="10759" max="10759" width="13.7109375" style="150" customWidth="1"/>
    <col min="10760" max="10760" width="6.85546875" style="150" customWidth="1"/>
    <col min="10761" max="11005" width="9.140625" style="150"/>
    <col min="11006" max="11006" width="6.42578125" style="150" customWidth="1"/>
    <col min="11007" max="11007" width="45.5703125" style="150" customWidth="1"/>
    <col min="11008" max="11010" width="17.85546875" style="150" customWidth="1"/>
    <col min="11011" max="11011" width="1.28515625" style="150" customWidth="1"/>
    <col min="11012" max="11012" width="2.42578125" style="150" customWidth="1"/>
    <col min="11013" max="11013" width="6.85546875" style="150" customWidth="1"/>
    <col min="11014" max="11014" width="35.85546875" style="150" bestFit="1" customWidth="1"/>
    <col min="11015" max="11015" width="13.7109375" style="150" customWidth="1"/>
    <col min="11016" max="11016" width="6.85546875" style="150" customWidth="1"/>
    <col min="11017" max="11261" width="9.140625" style="150"/>
    <col min="11262" max="11262" width="6.42578125" style="150" customWidth="1"/>
    <col min="11263" max="11263" width="45.5703125" style="150" customWidth="1"/>
    <col min="11264" max="11266" width="17.85546875" style="150" customWidth="1"/>
    <col min="11267" max="11267" width="1.28515625" style="150" customWidth="1"/>
    <col min="11268" max="11268" width="2.42578125" style="150" customWidth="1"/>
    <col min="11269" max="11269" width="6.85546875" style="150" customWidth="1"/>
    <col min="11270" max="11270" width="35.85546875" style="150" bestFit="1" customWidth="1"/>
    <col min="11271" max="11271" width="13.7109375" style="150" customWidth="1"/>
    <col min="11272" max="11272" width="6.85546875" style="150" customWidth="1"/>
    <col min="11273" max="11517" width="9.140625" style="150"/>
    <col min="11518" max="11518" width="6.42578125" style="150" customWidth="1"/>
    <col min="11519" max="11519" width="45.5703125" style="150" customWidth="1"/>
    <col min="11520" max="11522" width="17.85546875" style="150" customWidth="1"/>
    <col min="11523" max="11523" width="1.28515625" style="150" customWidth="1"/>
    <col min="11524" max="11524" width="2.42578125" style="150" customWidth="1"/>
    <col min="11525" max="11525" width="6.85546875" style="150" customWidth="1"/>
    <col min="11526" max="11526" width="35.85546875" style="150" bestFit="1" customWidth="1"/>
    <col min="11527" max="11527" width="13.7109375" style="150" customWidth="1"/>
    <col min="11528" max="11528" width="6.85546875" style="150" customWidth="1"/>
    <col min="11529" max="11773" width="9.140625" style="150"/>
    <col min="11774" max="11774" width="6.42578125" style="150" customWidth="1"/>
    <col min="11775" max="11775" width="45.5703125" style="150" customWidth="1"/>
    <col min="11776" max="11778" width="17.85546875" style="150" customWidth="1"/>
    <col min="11779" max="11779" width="1.28515625" style="150" customWidth="1"/>
    <col min="11780" max="11780" width="2.42578125" style="150" customWidth="1"/>
    <col min="11781" max="11781" width="6.85546875" style="150" customWidth="1"/>
    <col min="11782" max="11782" width="35.85546875" style="150" bestFit="1" customWidth="1"/>
    <col min="11783" max="11783" width="13.7109375" style="150" customWidth="1"/>
    <col min="11784" max="11784" width="6.85546875" style="150" customWidth="1"/>
    <col min="11785" max="12029" width="9.140625" style="150"/>
    <col min="12030" max="12030" width="6.42578125" style="150" customWidth="1"/>
    <col min="12031" max="12031" width="45.5703125" style="150" customWidth="1"/>
    <col min="12032" max="12034" width="17.85546875" style="150" customWidth="1"/>
    <col min="12035" max="12035" width="1.28515625" style="150" customWidth="1"/>
    <col min="12036" max="12036" width="2.42578125" style="150" customWidth="1"/>
    <col min="12037" max="12037" width="6.85546875" style="150" customWidth="1"/>
    <col min="12038" max="12038" width="35.85546875" style="150" bestFit="1" customWidth="1"/>
    <col min="12039" max="12039" width="13.7109375" style="150" customWidth="1"/>
    <col min="12040" max="12040" width="6.85546875" style="150" customWidth="1"/>
    <col min="12041" max="12285" width="9.140625" style="150"/>
    <col min="12286" max="12286" width="6.42578125" style="150" customWidth="1"/>
    <col min="12287" max="12287" width="45.5703125" style="150" customWidth="1"/>
    <col min="12288" max="12290" width="17.85546875" style="150" customWidth="1"/>
    <col min="12291" max="12291" width="1.28515625" style="150" customWidth="1"/>
    <col min="12292" max="12292" width="2.42578125" style="150" customWidth="1"/>
    <col min="12293" max="12293" width="6.85546875" style="150" customWidth="1"/>
    <col min="12294" max="12294" width="35.85546875" style="150" bestFit="1" customWidth="1"/>
    <col min="12295" max="12295" width="13.7109375" style="150" customWidth="1"/>
    <col min="12296" max="12296" width="6.85546875" style="150" customWidth="1"/>
    <col min="12297" max="12541" width="9.140625" style="150"/>
    <col min="12542" max="12542" width="6.42578125" style="150" customWidth="1"/>
    <col min="12543" max="12543" width="45.5703125" style="150" customWidth="1"/>
    <col min="12544" max="12546" width="17.85546875" style="150" customWidth="1"/>
    <col min="12547" max="12547" width="1.28515625" style="150" customWidth="1"/>
    <col min="12548" max="12548" width="2.42578125" style="150" customWidth="1"/>
    <col min="12549" max="12549" width="6.85546875" style="150" customWidth="1"/>
    <col min="12550" max="12550" width="35.85546875" style="150" bestFit="1" customWidth="1"/>
    <col min="12551" max="12551" width="13.7109375" style="150" customWidth="1"/>
    <col min="12552" max="12552" width="6.85546875" style="150" customWidth="1"/>
    <col min="12553" max="12797" width="9.140625" style="150"/>
    <col min="12798" max="12798" width="6.42578125" style="150" customWidth="1"/>
    <col min="12799" max="12799" width="45.5703125" style="150" customWidth="1"/>
    <col min="12800" max="12802" width="17.85546875" style="150" customWidth="1"/>
    <col min="12803" max="12803" width="1.28515625" style="150" customWidth="1"/>
    <col min="12804" max="12804" width="2.42578125" style="150" customWidth="1"/>
    <col min="12805" max="12805" width="6.85546875" style="150" customWidth="1"/>
    <col min="12806" max="12806" width="35.85546875" style="150" bestFit="1" customWidth="1"/>
    <col min="12807" max="12807" width="13.7109375" style="150" customWidth="1"/>
    <col min="12808" max="12808" width="6.85546875" style="150" customWidth="1"/>
    <col min="12809" max="13053" width="9.140625" style="150"/>
    <col min="13054" max="13054" width="6.42578125" style="150" customWidth="1"/>
    <col min="13055" max="13055" width="45.5703125" style="150" customWidth="1"/>
    <col min="13056" max="13058" width="17.85546875" style="150" customWidth="1"/>
    <col min="13059" max="13059" width="1.28515625" style="150" customWidth="1"/>
    <col min="13060" max="13060" width="2.42578125" style="150" customWidth="1"/>
    <col min="13061" max="13061" width="6.85546875" style="150" customWidth="1"/>
    <col min="13062" max="13062" width="35.85546875" style="150" bestFit="1" customWidth="1"/>
    <col min="13063" max="13063" width="13.7109375" style="150" customWidth="1"/>
    <col min="13064" max="13064" width="6.85546875" style="150" customWidth="1"/>
    <col min="13065" max="13309" width="9.140625" style="150"/>
    <col min="13310" max="13310" width="6.42578125" style="150" customWidth="1"/>
    <col min="13311" max="13311" width="45.5703125" style="150" customWidth="1"/>
    <col min="13312" max="13314" width="17.85546875" style="150" customWidth="1"/>
    <col min="13315" max="13315" width="1.28515625" style="150" customWidth="1"/>
    <col min="13316" max="13316" width="2.42578125" style="150" customWidth="1"/>
    <col min="13317" max="13317" width="6.85546875" style="150" customWidth="1"/>
    <col min="13318" max="13318" width="35.85546875" style="150" bestFit="1" customWidth="1"/>
    <col min="13319" max="13319" width="13.7109375" style="150" customWidth="1"/>
    <col min="13320" max="13320" width="6.85546875" style="150" customWidth="1"/>
    <col min="13321" max="13565" width="9.140625" style="150"/>
    <col min="13566" max="13566" width="6.42578125" style="150" customWidth="1"/>
    <col min="13567" max="13567" width="45.5703125" style="150" customWidth="1"/>
    <col min="13568" max="13570" width="17.85546875" style="150" customWidth="1"/>
    <col min="13571" max="13571" width="1.28515625" style="150" customWidth="1"/>
    <col min="13572" max="13572" width="2.42578125" style="150" customWidth="1"/>
    <col min="13573" max="13573" width="6.85546875" style="150" customWidth="1"/>
    <col min="13574" max="13574" width="35.85546875" style="150" bestFit="1" customWidth="1"/>
    <col min="13575" max="13575" width="13.7109375" style="150" customWidth="1"/>
    <col min="13576" max="13576" width="6.85546875" style="150" customWidth="1"/>
    <col min="13577" max="13821" width="9.140625" style="150"/>
    <col min="13822" max="13822" width="6.42578125" style="150" customWidth="1"/>
    <col min="13823" max="13823" width="45.5703125" style="150" customWidth="1"/>
    <col min="13824" max="13826" width="17.85546875" style="150" customWidth="1"/>
    <col min="13827" max="13827" width="1.28515625" style="150" customWidth="1"/>
    <col min="13828" max="13828" width="2.42578125" style="150" customWidth="1"/>
    <col min="13829" max="13829" width="6.85546875" style="150" customWidth="1"/>
    <col min="13830" max="13830" width="35.85546875" style="150" bestFit="1" customWidth="1"/>
    <col min="13831" max="13831" width="13.7109375" style="150" customWidth="1"/>
    <col min="13832" max="13832" width="6.85546875" style="150" customWidth="1"/>
    <col min="13833" max="14077" width="9.140625" style="150"/>
    <col min="14078" max="14078" width="6.42578125" style="150" customWidth="1"/>
    <col min="14079" max="14079" width="45.5703125" style="150" customWidth="1"/>
    <col min="14080" max="14082" width="17.85546875" style="150" customWidth="1"/>
    <col min="14083" max="14083" width="1.28515625" style="150" customWidth="1"/>
    <col min="14084" max="14084" width="2.42578125" style="150" customWidth="1"/>
    <col min="14085" max="14085" width="6.85546875" style="150" customWidth="1"/>
    <col min="14086" max="14086" width="35.85546875" style="150" bestFit="1" customWidth="1"/>
    <col min="14087" max="14087" width="13.7109375" style="150" customWidth="1"/>
    <col min="14088" max="14088" width="6.85546875" style="150" customWidth="1"/>
    <col min="14089" max="14333" width="9.140625" style="150"/>
    <col min="14334" max="14334" width="6.42578125" style="150" customWidth="1"/>
    <col min="14335" max="14335" width="45.5703125" style="150" customWidth="1"/>
    <col min="14336" max="14338" width="17.85546875" style="150" customWidth="1"/>
    <col min="14339" max="14339" width="1.28515625" style="150" customWidth="1"/>
    <col min="14340" max="14340" width="2.42578125" style="150" customWidth="1"/>
    <col min="14341" max="14341" width="6.85546875" style="150" customWidth="1"/>
    <col min="14342" max="14342" width="35.85546875" style="150" bestFit="1" customWidth="1"/>
    <col min="14343" max="14343" width="13.7109375" style="150" customWidth="1"/>
    <col min="14344" max="14344" width="6.85546875" style="150" customWidth="1"/>
    <col min="14345" max="14589" width="9.140625" style="150"/>
    <col min="14590" max="14590" width="6.42578125" style="150" customWidth="1"/>
    <col min="14591" max="14591" width="45.5703125" style="150" customWidth="1"/>
    <col min="14592" max="14594" width="17.85546875" style="150" customWidth="1"/>
    <col min="14595" max="14595" width="1.28515625" style="150" customWidth="1"/>
    <col min="14596" max="14596" width="2.42578125" style="150" customWidth="1"/>
    <col min="14597" max="14597" width="6.85546875" style="150" customWidth="1"/>
    <col min="14598" max="14598" width="35.85546875" style="150" bestFit="1" customWidth="1"/>
    <col min="14599" max="14599" width="13.7109375" style="150" customWidth="1"/>
    <col min="14600" max="14600" width="6.85546875" style="150" customWidth="1"/>
    <col min="14601" max="14845" width="9.140625" style="150"/>
    <col min="14846" max="14846" width="6.42578125" style="150" customWidth="1"/>
    <col min="14847" max="14847" width="45.5703125" style="150" customWidth="1"/>
    <col min="14848" max="14850" width="17.85546875" style="150" customWidth="1"/>
    <col min="14851" max="14851" width="1.28515625" style="150" customWidth="1"/>
    <col min="14852" max="14852" width="2.42578125" style="150" customWidth="1"/>
    <col min="14853" max="14853" width="6.85546875" style="150" customWidth="1"/>
    <col min="14854" max="14854" width="35.85546875" style="150" bestFit="1" customWidth="1"/>
    <col min="14855" max="14855" width="13.7109375" style="150" customWidth="1"/>
    <col min="14856" max="14856" width="6.85546875" style="150" customWidth="1"/>
    <col min="14857" max="15101" width="9.140625" style="150"/>
    <col min="15102" max="15102" width="6.42578125" style="150" customWidth="1"/>
    <col min="15103" max="15103" width="45.5703125" style="150" customWidth="1"/>
    <col min="15104" max="15106" width="17.85546875" style="150" customWidth="1"/>
    <col min="15107" max="15107" width="1.28515625" style="150" customWidth="1"/>
    <col min="15108" max="15108" width="2.42578125" style="150" customWidth="1"/>
    <col min="15109" max="15109" width="6.85546875" style="150" customWidth="1"/>
    <col min="15110" max="15110" width="35.85546875" style="150" bestFit="1" customWidth="1"/>
    <col min="15111" max="15111" width="13.7109375" style="150" customWidth="1"/>
    <col min="15112" max="15112" width="6.85546875" style="150" customWidth="1"/>
    <col min="15113" max="15357" width="9.140625" style="150"/>
    <col min="15358" max="15358" width="6.42578125" style="150" customWidth="1"/>
    <col min="15359" max="15359" width="45.5703125" style="150" customWidth="1"/>
    <col min="15360" max="15362" width="17.85546875" style="150" customWidth="1"/>
    <col min="15363" max="15363" width="1.28515625" style="150" customWidth="1"/>
    <col min="15364" max="15364" width="2.42578125" style="150" customWidth="1"/>
    <col min="15365" max="15365" width="6.85546875" style="150" customWidth="1"/>
    <col min="15366" max="15366" width="35.85546875" style="150" bestFit="1" customWidth="1"/>
    <col min="15367" max="15367" width="13.7109375" style="150" customWidth="1"/>
    <col min="15368" max="15368" width="6.85546875" style="150" customWidth="1"/>
    <col min="15369" max="15613" width="9.140625" style="150"/>
    <col min="15614" max="15614" width="6.42578125" style="150" customWidth="1"/>
    <col min="15615" max="15615" width="45.5703125" style="150" customWidth="1"/>
    <col min="15616" max="15618" width="17.85546875" style="150" customWidth="1"/>
    <col min="15619" max="15619" width="1.28515625" style="150" customWidth="1"/>
    <col min="15620" max="15620" width="2.42578125" style="150" customWidth="1"/>
    <col min="15621" max="15621" width="6.85546875" style="150" customWidth="1"/>
    <col min="15622" max="15622" width="35.85546875" style="150" bestFit="1" customWidth="1"/>
    <col min="15623" max="15623" width="13.7109375" style="150" customWidth="1"/>
    <col min="15624" max="15624" width="6.85546875" style="150" customWidth="1"/>
    <col min="15625" max="15869" width="9.140625" style="150"/>
    <col min="15870" max="15870" width="6.42578125" style="150" customWidth="1"/>
    <col min="15871" max="15871" width="45.5703125" style="150" customWidth="1"/>
    <col min="15872" max="15874" width="17.85546875" style="150" customWidth="1"/>
    <col min="15875" max="15875" width="1.28515625" style="150" customWidth="1"/>
    <col min="15876" max="15876" width="2.42578125" style="150" customWidth="1"/>
    <col min="15877" max="15877" width="6.85546875" style="150" customWidth="1"/>
    <col min="15878" max="15878" width="35.85546875" style="150" bestFit="1" customWidth="1"/>
    <col min="15879" max="15879" width="13.7109375" style="150" customWidth="1"/>
    <col min="15880" max="15880" width="6.85546875" style="150" customWidth="1"/>
    <col min="15881" max="16125" width="9.140625" style="150"/>
    <col min="16126" max="16126" width="6.42578125" style="150" customWidth="1"/>
    <col min="16127" max="16127" width="45.5703125" style="150" customWidth="1"/>
    <col min="16128" max="16130" width="17.85546875" style="150" customWidth="1"/>
    <col min="16131" max="16131" width="1.28515625" style="150" customWidth="1"/>
    <col min="16132" max="16132" width="2.42578125" style="150" customWidth="1"/>
    <col min="16133" max="16133" width="6.85546875" style="150" customWidth="1"/>
    <col min="16134" max="16134" width="35.85546875" style="150" bestFit="1" customWidth="1"/>
    <col min="16135" max="16135" width="13.7109375" style="150" customWidth="1"/>
    <col min="16136" max="16136" width="6.85546875" style="150" customWidth="1"/>
    <col min="16137" max="16384" width="9.140625" style="150"/>
  </cols>
  <sheetData>
    <row r="1" spans="1:253" ht="18">
      <c r="G1" s="961"/>
      <c r="H1" s="961"/>
      <c r="I1" s="962"/>
    </row>
    <row r="2" spans="1:253" s="151" customFormat="1" ht="18" customHeight="1">
      <c r="A2" s="1231" t="s">
        <v>93</v>
      </c>
      <c r="B2" s="1231"/>
      <c r="C2" s="1231"/>
      <c r="D2" s="1231"/>
      <c r="E2" s="1231"/>
      <c r="F2" s="1231"/>
      <c r="G2" s="1231"/>
      <c r="H2" s="1231"/>
      <c r="I2" s="1231"/>
      <c r="J2" s="1231"/>
      <c r="K2" s="1049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  <c r="AH2" s="1251"/>
      <c r="AI2" s="1251"/>
      <c r="AJ2" s="1251"/>
      <c r="AK2" s="1251"/>
      <c r="AL2" s="1251"/>
      <c r="AM2" s="1251"/>
      <c r="AN2" s="1251"/>
      <c r="AO2" s="1251"/>
      <c r="AP2" s="1251"/>
      <c r="AQ2" s="1251"/>
      <c r="AR2" s="1251"/>
      <c r="AS2" s="1251"/>
      <c r="AT2" s="1251"/>
      <c r="AU2" s="1251"/>
      <c r="AV2" s="1251"/>
      <c r="AW2" s="1251"/>
      <c r="AX2" s="1251"/>
      <c r="AY2" s="1251"/>
      <c r="AZ2" s="1251"/>
      <c r="BA2" s="1251"/>
      <c r="BB2" s="1251"/>
      <c r="BC2" s="1251"/>
      <c r="BD2" s="1251"/>
      <c r="BE2" s="1251"/>
      <c r="BF2" s="1251"/>
      <c r="BG2" s="1251"/>
      <c r="BH2" s="1251"/>
      <c r="BI2" s="1251"/>
      <c r="BJ2" s="1251"/>
      <c r="BK2" s="1251"/>
      <c r="BL2" s="1251"/>
      <c r="BM2" s="1251"/>
      <c r="BN2" s="1251"/>
      <c r="BO2" s="1251"/>
      <c r="BP2" s="1251"/>
      <c r="BQ2" s="1251"/>
      <c r="BR2" s="1251"/>
      <c r="BS2" s="1251"/>
      <c r="BT2" s="1251"/>
      <c r="BU2" s="1251"/>
      <c r="BV2" s="1251"/>
      <c r="BW2" s="1251"/>
      <c r="BX2" s="1251"/>
      <c r="BY2" s="1251"/>
      <c r="BZ2" s="1251"/>
      <c r="CA2" s="1251"/>
      <c r="CB2" s="1251"/>
      <c r="CC2" s="1251"/>
      <c r="CD2" s="1251"/>
      <c r="CE2" s="1251"/>
      <c r="CF2" s="1251"/>
      <c r="CG2" s="1251"/>
      <c r="CH2" s="1251"/>
      <c r="CI2" s="1251"/>
      <c r="CJ2" s="1251"/>
      <c r="CK2" s="1251"/>
      <c r="CL2" s="1251"/>
      <c r="CM2" s="1251"/>
      <c r="CN2" s="1251"/>
      <c r="CO2" s="1251"/>
      <c r="CP2" s="1251"/>
      <c r="CQ2" s="1251"/>
      <c r="CR2" s="1251"/>
      <c r="CS2" s="1251"/>
      <c r="CT2" s="1251"/>
      <c r="CU2" s="1251"/>
      <c r="CV2" s="1251"/>
      <c r="CW2" s="1251"/>
      <c r="CX2" s="1251"/>
      <c r="CY2" s="1251"/>
      <c r="CZ2" s="1251"/>
      <c r="DA2" s="1251"/>
      <c r="DB2" s="1251"/>
      <c r="DC2" s="1251"/>
      <c r="DD2" s="1251"/>
      <c r="DE2" s="1251"/>
      <c r="DF2" s="1251"/>
      <c r="DG2" s="1251"/>
      <c r="DH2" s="1251"/>
      <c r="DI2" s="1251"/>
      <c r="DJ2" s="1251"/>
      <c r="DK2" s="1251"/>
      <c r="DL2" s="1251"/>
      <c r="DM2" s="1251"/>
      <c r="DN2" s="1251"/>
      <c r="DO2" s="1251"/>
      <c r="DP2" s="1251"/>
      <c r="DQ2" s="1251"/>
      <c r="DR2" s="1251"/>
      <c r="DS2" s="1251"/>
      <c r="DT2" s="1251"/>
      <c r="DU2" s="1251"/>
      <c r="DV2" s="1251"/>
      <c r="DW2" s="1251"/>
      <c r="DX2" s="1251"/>
      <c r="DY2" s="1251"/>
      <c r="DZ2" s="1251"/>
      <c r="EA2" s="1251"/>
      <c r="EB2" s="1251"/>
      <c r="EC2" s="1251"/>
      <c r="ED2" s="1251"/>
      <c r="EE2" s="1251"/>
      <c r="EF2" s="1251"/>
      <c r="EG2" s="1251"/>
      <c r="EH2" s="1251"/>
      <c r="EI2" s="1251"/>
      <c r="EJ2" s="1251"/>
      <c r="EK2" s="1251"/>
      <c r="EL2" s="1251"/>
      <c r="EM2" s="1251"/>
      <c r="EN2" s="1251"/>
      <c r="EO2" s="1251"/>
      <c r="EP2" s="1251"/>
      <c r="EQ2" s="1251"/>
      <c r="ER2" s="1251"/>
      <c r="ES2" s="1251"/>
      <c r="ET2" s="1251"/>
      <c r="EU2" s="1251"/>
      <c r="EV2" s="1251"/>
      <c r="EW2" s="1251"/>
      <c r="EX2" s="1251"/>
      <c r="EY2" s="1251"/>
      <c r="EZ2" s="1251"/>
      <c r="FA2" s="1251"/>
      <c r="FB2" s="1251"/>
      <c r="FC2" s="1251"/>
      <c r="FD2" s="1251"/>
      <c r="FE2" s="1251"/>
      <c r="FF2" s="1251"/>
      <c r="FG2" s="1251"/>
      <c r="FH2" s="1251"/>
      <c r="FI2" s="1251"/>
      <c r="FJ2" s="1251"/>
      <c r="FK2" s="1251"/>
      <c r="FL2" s="1251"/>
      <c r="FM2" s="1251"/>
      <c r="FN2" s="1251"/>
      <c r="FO2" s="1251"/>
      <c r="FP2" s="1251"/>
      <c r="FQ2" s="1251"/>
      <c r="FR2" s="1251"/>
      <c r="FS2" s="1251"/>
      <c r="FT2" s="1251"/>
      <c r="FU2" s="1251"/>
      <c r="FV2" s="1251"/>
      <c r="FW2" s="1251"/>
      <c r="FX2" s="1251"/>
      <c r="FY2" s="1251"/>
      <c r="FZ2" s="1251"/>
      <c r="GA2" s="1251"/>
      <c r="GB2" s="1251"/>
      <c r="GC2" s="1251"/>
      <c r="GD2" s="1251"/>
      <c r="GE2" s="1251"/>
      <c r="GF2" s="1251"/>
      <c r="GG2" s="1251"/>
      <c r="GH2" s="1251"/>
      <c r="GI2" s="1251"/>
      <c r="GJ2" s="1251"/>
      <c r="GK2" s="1251"/>
      <c r="GL2" s="1251"/>
      <c r="GM2" s="1251"/>
      <c r="GN2" s="1251"/>
      <c r="GO2" s="1251"/>
      <c r="GP2" s="1251"/>
      <c r="GQ2" s="1251"/>
      <c r="GR2" s="1251"/>
      <c r="GS2" s="1251"/>
      <c r="GT2" s="1251"/>
      <c r="GU2" s="1251"/>
      <c r="GV2" s="1251"/>
      <c r="GW2" s="1251"/>
      <c r="GX2" s="1251"/>
      <c r="GY2" s="1251"/>
      <c r="GZ2" s="1251"/>
      <c r="HA2" s="1251"/>
      <c r="HB2" s="1251"/>
      <c r="HC2" s="1251"/>
      <c r="HD2" s="1251"/>
      <c r="HE2" s="1251"/>
      <c r="HF2" s="1251"/>
      <c r="HG2" s="1251"/>
      <c r="HH2" s="1251"/>
      <c r="HI2" s="1251"/>
      <c r="HJ2" s="1251"/>
      <c r="HK2" s="1251"/>
      <c r="HL2" s="1251"/>
      <c r="HM2" s="1251"/>
      <c r="HN2" s="1251"/>
      <c r="HO2" s="1251"/>
      <c r="HP2" s="1251"/>
      <c r="HQ2" s="1251"/>
      <c r="HR2" s="1251"/>
      <c r="HS2" s="1251"/>
      <c r="HT2" s="1251"/>
      <c r="HU2" s="1251"/>
      <c r="HV2" s="1251"/>
      <c r="HW2" s="1251"/>
      <c r="HX2" s="1251"/>
      <c r="HY2" s="1251"/>
      <c r="HZ2" s="1251"/>
      <c r="IA2" s="1251"/>
      <c r="IB2" s="1251"/>
      <c r="IC2" s="1251"/>
      <c r="ID2" s="1251"/>
      <c r="IE2" s="1251"/>
      <c r="IF2" s="1251"/>
      <c r="IG2" s="1251"/>
      <c r="IH2" s="1251"/>
      <c r="II2" s="1251"/>
      <c r="IJ2" s="1251"/>
      <c r="IK2" s="1251"/>
      <c r="IL2" s="1251"/>
      <c r="IM2" s="1251"/>
      <c r="IN2" s="1251"/>
      <c r="IO2" s="1251"/>
      <c r="IP2" s="1251"/>
      <c r="IQ2" s="1251"/>
      <c r="IR2" s="1251"/>
      <c r="IS2" s="1251"/>
    </row>
    <row r="3" spans="1:253" s="151" customFormat="1" ht="41.25" customHeight="1">
      <c r="A3" s="1233" t="s">
        <v>1521</v>
      </c>
      <c r="B3" s="1233"/>
      <c r="C3" s="1233"/>
      <c r="D3" s="1233"/>
      <c r="E3" s="1233"/>
      <c r="F3" s="1233"/>
      <c r="G3" s="1233"/>
      <c r="H3" s="1233"/>
      <c r="I3" s="1233"/>
      <c r="J3" s="1233"/>
      <c r="K3" s="966"/>
      <c r="L3" s="6"/>
      <c r="M3" s="6"/>
      <c r="N3" s="6"/>
      <c r="O3" s="6"/>
    </row>
    <row r="4" spans="1:253" s="151" customFormat="1" ht="2.25" customHeight="1">
      <c r="A4" s="1233"/>
      <c r="B4" s="1233"/>
      <c r="C4" s="1233"/>
      <c r="D4" s="1233"/>
      <c r="E4" s="1233"/>
      <c r="F4" s="1233"/>
      <c r="G4" s="1233"/>
      <c r="H4" s="1233"/>
      <c r="I4" s="1233"/>
      <c r="J4" s="1233"/>
      <c r="K4" s="966"/>
      <c r="L4" s="6"/>
      <c r="M4" s="6"/>
      <c r="N4" s="6"/>
      <c r="O4" s="6"/>
    </row>
    <row r="5" spans="1:253" s="151" customFormat="1" ht="9.9499999999999993" customHeight="1">
      <c r="A5" s="1233"/>
      <c r="B5" s="1233"/>
      <c r="C5" s="1233"/>
      <c r="D5" s="1233"/>
      <c r="E5" s="1233"/>
      <c r="F5" s="1233"/>
      <c r="G5" s="1233"/>
      <c r="H5" s="1233"/>
      <c r="I5" s="1233"/>
      <c r="J5" s="1233"/>
      <c r="K5" s="966"/>
      <c r="L5" s="6"/>
      <c r="M5" s="6"/>
      <c r="N5" s="6"/>
      <c r="O5" s="6"/>
    </row>
    <row r="6" spans="1:253" s="151" customFormat="1" ht="2.25" customHeight="1">
      <c r="A6" s="1233"/>
      <c r="B6" s="1233"/>
      <c r="C6" s="1233"/>
      <c r="D6" s="1233"/>
      <c r="E6" s="1233"/>
      <c r="F6" s="1233"/>
      <c r="G6" s="1233"/>
      <c r="H6" s="1233"/>
      <c r="I6" s="1233"/>
      <c r="J6" s="1233"/>
      <c r="K6" s="966"/>
      <c r="L6" s="6"/>
      <c r="M6" s="6"/>
      <c r="N6" s="6"/>
      <c r="O6" s="6"/>
    </row>
    <row r="7" spans="1:253" s="152" customFormat="1" ht="21" customHeight="1">
      <c r="A7" s="1233"/>
      <c r="B7" s="1233"/>
      <c r="C7" s="1233"/>
      <c r="D7" s="1233"/>
      <c r="E7" s="1233"/>
      <c r="F7" s="1233"/>
      <c r="G7" s="1233"/>
      <c r="H7" s="1233"/>
      <c r="I7" s="1233"/>
      <c r="J7" s="1233"/>
      <c r="K7" s="967"/>
    </row>
    <row r="8" spans="1:253" s="152" customFormat="1" ht="12.75" hidden="1" customHeight="1">
      <c r="A8" s="1024"/>
      <c r="B8" s="1025"/>
      <c r="C8" s="1026"/>
      <c r="D8" s="1026"/>
      <c r="E8" s="1026"/>
      <c r="F8" s="1026"/>
      <c r="G8" s="1026"/>
      <c r="H8" s="1026"/>
      <c r="I8" s="1027" t="s">
        <v>986</v>
      </c>
      <c r="K8" s="967"/>
    </row>
    <row r="9" spans="1:253" s="178" customFormat="1" ht="16.5" customHeight="1">
      <c r="A9" s="1238" t="s">
        <v>94</v>
      </c>
      <c r="B9" s="1238"/>
      <c r="C9" s="1239" t="s">
        <v>1513</v>
      </c>
      <c r="D9" s="1252" t="s">
        <v>1511</v>
      </c>
      <c r="E9" s="1253"/>
      <c r="F9" s="1253"/>
      <c r="G9" s="1253"/>
      <c r="H9" s="1254"/>
      <c r="I9" s="1239" t="s">
        <v>1113</v>
      </c>
      <c r="J9" s="1232" t="s">
        <v>1519</v>
      </c>
      <c r="K9" s="968"/>
    </row>
    <row r="10" spans="1:253" s="179" customFormat="1" ht="30" customHeight="1">
      <c r="A10" s="1238"/>
      <c r="B10" s="1238"/>
      <c r="C10" s="1239"/>
      <c r="D10" s="426" t="s">
        <v>818</v>
      </c>
      <c r="E10" s="884" t="s">
        <v>1514</v>
      </c>
      <c r="F10" s="884" t="s">
        <v>1518</v>
      </c>
      <c r="G10" s="426" t="s">
        <v>819</v>
      </c>
      <c r="H10" s="1044" t="s">
        <v>1504</v>
      </c>
      <c r="I10" s="1239"/>
      <c r="J10" s="1232"/>
      <c r="K10" s="969"/>
      <c r="Q10" s="180"/>
    </row>
    <row r="11" spans="1:253" s="9" customFormat="1" ht="15" customHeight="1">
      <c r="A11" s="1236"/>
      <c r="B11" s="1237"/>
      <c r="C11" s="1021"/>
      <c r="D11" s="1021"/>
      <c r="E11" s="1021">
        <v>0</v>
      </c>
      <c r="F11" s="1022"/>
      <c r="G11" s="1021">
        <v>0</v>
      </c>
      <c r="H11" s="1050">
        <v>0</v>
      </c>
      <c r="I11" s="1023">
        <v>-942.49393733333318</v>
      </c>
      <c r="J11" s="1066"/>
      <c r="K11" s="564"/>
    </row>
    <row r="12" spans="1:253" s="9" customFormat="1" ht="5.25" customHeight="1">
      <c r="A12" s="1240"/>
      <c r="B12" s="1241"/>
      <c r="C12" s="1241"/>
      <c r="D12" s="1241"/>
      <c r="E12" s="1241"/>
      <c r="F12" s="1241"/>
      <c r="G12" s="1241"/>
      <c r="H12" s="1241"/>
      <c r="I12" s="1242"/>
      <c r="J12" s="1066">
        <v>0</v>
      </c>
      <c r="K12" s="564"/>
    </row>
    <row r="13" spans="1:253" s="153" customFormat="1" ht="15" customHeight="1">
      <c r="A13" s="1234" t="s">
        <v>1525</v>
      </c>
      <c r="B13" s="1234"/>
      <c r="C13" s="1072">
        <v>1542.2070000000001</v>
      </c>
      <c r="D13" s="1072">
        <v>1356.7720589999999</v>
      </c>
      <c r="E13" s="1072">
        <v>958.67600000000004</v>
      </c>
      <c r="F13" s="1072">
        <v>638.28805899999998</v>
      </c>
      <c r="G13" s="1072">
        <v>1596.9640589999999</v>
      </c>
      <c r="H13" s="1072">
        <v>1542.2070000000001</v>
      </c>
      <c r="I13" s="1072">
        <v>1875.6484649000001</v>
      </c>
      <c r="J13" s="1072">
        <v>2402.8240000000005</v>
      </c>
      <c r="K13" s="970"/>
      <c r="N13" s="887">
        <f>+E13+F13-G13</f>
        <v>0</v>
      </c>
    </row>
    <row r="14" spans="1:253" s="9" customFormat="1" ht="15" customHeight="1">
      <c r="A14" s="990" t="s">
        <v>96</v>
      </c>
      <c r="B14" s="1067" t="s">
        <v>97</v>
      </c>
      <c r="C14" s="1073">
        <v>1405.634</v>
      </c>
      <c r="D14" s="1073">
        <v>1250.5889999999999</v>
      </c>
      <c r="E14" s="1073">
        <v>911.34100000000001</v>
      </c>
      <c r="F14" s="1073">
        <v>339.24799999999993</v>
      </c>
      <c r="G14" s="1073">
        <v>1250.5889999999999</v>
      </c>
      <c r="H14" s="1073">
        <v>1405.634</v>
      </c>
      <c r="I14" s="1073">
        <v>1449.3797999999999</v>
      </c>
      <c r="J14" s="1066">
        <v>1697.0260000000001</v>
      </c>
      <c r="K14" s="564"/>
      <c r="M14" s="1043"/>
      <c r="N14" s="887"/>
      <c r="O14" s="1043"/>
    </row>
    <row r="15" spans="1:253" s="9" customFormat="1" ht="15" customHeight="1">
      <c r="A15" s="990" t="s">
        <v>98</v>
      </c>
      <c r="B15" s="1067" t="s">
        <v>99</v>
      </c>
      <c r="C15" s="1073">
        <v>25</v>
      </c>
      <c r="D15" s="1073">
        <v>0</v>
      </c>
      <c r="E15" s="1073">
        <v>10</v>
      </c>
      <c r="F15" s="1073">
        <v>130.19200000000001</v>
      </c>
      <c r="G15" s="1073">
        <v>140.19200000000001</v>
      </c>
      <c r="H15" s="1073">
        <v>25</v>
      </c>
      <c r="I15" s="1073">
        <v>314.60000000000002</v>
      </c>
      <c r="J15" s="1066">
        <v>200.749</v>
      </c>
      <c r="K15" s="564"/>
      <c r="N15" s="887"/>
    </row>
    <row r="16" spans="1:253" s="9" customFormat="1" ht="15" customHeight="1">
      <c r="A16" s="990" t="s">
        <v>100</v>
      </c>
      <c r="B16" s="1067" t="s">
        <v>101</v>
      </c>
      <c r="C16" s="1073">
        <v>60.246000000000002</v>
      </c>
      <c r="D16" s="1073">
        <v>54.856059000000002</v>
      </c>
      <c r="E16" s="1073">
        <v>37.335000000000001</v>
      </c>
      <c r="F16" s="1073">
        <v>17.521059000000001</v>
      </c>
      <c r="G16" s="1073">
        <v>54.856059000000002</v>
      </c>
      <c r="H16" s="1073">
        <v>60.246000000000002</v>
      </c>
      <c r="I16" s="1073">
        <v>60.341664900000005</v>
      </c>
      <c r="J16" s="1066">
        <v>53.722000000000001</v>
      </c>
      <c r="K16" s="564"/>
      <c r="N16" s="887"/>
      <c r="P16" s="1213"/>
    </row>
    <row r="17" spans="1:23" s="9" customFormat="1" ht="15" customHeight="1">
      <c r="A17" s="990" t="s">
        <v>102</v>
      </c>
      <c r="B17" s="1067" t="s">
        <v>103</v>
      </c>
      <c r="C17" s="1073"/>
      <c r="D17" s="1073">
        <v>0</v>
      </c>
      <c r="E17" s="1073"/>
      <c r="F17" s="1073">
        <v>100</v>
      </c>
      <c r="G17" s="1073">
        <v>100</v>
      </c>
      <c r="H17" s="1073"/>
      <c r="I17" s="1073"/>
      <c r="J17" s="1066">
        <v>150</v>
      </c>
      <c r="K17" s="564"/>
      <c r="L17" s="1043"/>
      <c r="N17" s="887"/>
      <c r="P17" s="1244"/>
      <c r="Q17" s="1245"/>
      <c r="R17" s="1245"/>
      <c r="S17" s="1245"/>
      <c r="T17" s="1245"/>
      <c r="U17" s="1245"/>
      <c r="V17" s="1245"/>
      <c r="W17" s="1245"/>
    </row>
    <row r="18" spans="1:23" s="9" customFormat="1" ht="25.5">
      <c r="A18" s="990" t="s">
        <v>104</v>
      </c>
      <c r="B18" s="1068" t="s">
        <v>1527</v>
      </c>
      <c r="C18" s="1073"/>
      <c r="D18" s="1073">
        <v>0</v>
      </c>
      <c r="E18" s="1073"/>
      <c r="F18" s="1073"/>
      <c r="G18" s="1073"/>
      <c r="H18" s="1073"/>
      <c r="I18" s="1073"/>
      <c r="J18" s="1066">
        <v>250</v>
      </c>
      <c r="K18" s="564"/>
      <c r="M18" s="1151"/>
      <c r="N18" s="887"/>
    </row>
    <row r="19" spans="1:23" s="9" customFormat="1" ht="15" customHeight="1">
      <c r="A19" s="990" t="s">
        <v>105</v>
      </c>
      <c r="B19" s="1068" t="s">
        <v>1422</v>
      </c>
      <c r="C19" s="1073">
        <v>51.326999999999998</v>
      </c>
      <c r="D19" s="1073">
        <v>51.326999999999998</v>
      </c>
      <c r="E19" s="1073"/>
      <c r="F19" s="1073">
        <v>51.326999999999998</v>
      </c>
      <c r="G19" s="1073">
        <v>51.326999999999998</v>
      </c>
      <c r="H19" s="1073">
        <v>51.326999999999998</v>
      </c>
      <c r="I19" s="1073">
        <v>51.326999999999998</v>
      </c>
      <c r="J19" s="1066">
        <v>51.326999999999998</v>
      </c>
      <c r="K19" s="564"/>
      <c r="N19" s="887"/>
    </row>
    <row r="20" spans="1:23" s="155" customFormat="1" ht="5.0999999999999996" customHeight="1">
      <c r="A20" s="1139"/>
      <c r="B20" s="1143"/>
      <c r="C20" s="1143"/>
      <c r="D20" s="1143"/>
      <c r="E20" s="1143"/>
      <c r="F20" s="1143"/>
      <c r="G20" s="1143"/>
      <c r="H20" s="1143"/>
      <c r="I20" s="1143"/>
      <c r="J20" s="1143"/>
      <c r="K20" s="1143"/>
      <c r="L20" s="1143"/>
      <c r="M20" s="1143"/>
      <c r="N20" s="1143"/>
      <c r="O20" s="1143"/>
      <c r="P20" s="1143"/>
      <c r="Q20" s="1143"/>
      <c r="R20" s="1144"/>
    </row>
    <row r="21" spans="1:23" s="1003" customFormat="1" ht="15" customHeight="1">
      <c r="A21" s="1235" t="s">
        <v>1526</v>
      </c>
      <c r="B21" s="1235"/>
      <c r="C21" s="1074">
        <v>1343.0480000000002</v>
      </c>
      <c r="D21" s="1074">
        <v>1681.39474</v>
      </c>
      <c r="E21" s="1074">
        <v>1265.4270000000001</v>
      </c>
      <c r="F21" s="1074">
        <v>8</v>
      </c>
      <c r="G21" s="1074">
        <v>1273.4270000000001</v>
      </c>
      <c r="H21" s="1074">
        <v>0</v>
      </c>
      <c r="I21" s="1074">
        <v>1419.0408399999999</v>
      </c>
      <c r="J21" s="1074">
        <v>1681.39474</v>
      </c>
      <c r="K21" s="1004"/>
      <c r="L21" s="1117"/>
      <c r="M21" s="1133"/>
      <c r="N21" s="1005"/>
    </row>
    <row r="22" spans="1:23" ht="15" customHeight="1">
      <c r="A22" s="990" t="s">
        <v>95</v>
      </c>
      <c r="B22" s="826" t="s">
        <v>581</v>
      </c>
      <c r="C22" s="1075">
        <v>296.178</v>
      </c>
      <c r="D22" s="1075">
        <v>373.34000000000003</v>
      </c>
      <c r="E22" s="1075">
        <v>193.84899999999999</v>
      </c>
      <c r="F22" s="1075">
        <v>0</v>
      </c>
      <c r="G22" s="1075">
        <v>193.84899999999999</v>
      </c>
      <c r="H22" s="1075">
        <v>296.178</v>
      </c>
      <c r="I22" s="933">
        <v>213.23390000000001</v>
      </c>
      <c r="J22" s="933">
        <v>373.34000000000003</v>
      </c>
      <c r="L22" s="965"/>
      <c r="N22" s="887"/>
    </row>
    <row r="23" spans="1:23" ht="15" customHeight="1">
      <c r="A23" s="990" t="s">
        <v>98</v>
      </c>
      <c r="B23" s="826" t="s">
        <v>1482</v>
      </c>
      <c r="C23" s="1075">
        <v>235.08</v>
      </c>
      <c r="D23" s="1075">
        <v>398.67673999999994</v>
      </c>
      <c r="E23" s="1075">
        <v>347.34100000000001</v>
      </c>
      <c r="F23" s="1075">
        <v>0</v>
      </c>
      <c r="G23" s="1075">
        <v>347.34100000000001</v>
      </c>
      <c r="H23" s="1075">
        <v>235.08</v>
      </c>
      <c r="I23" s="1075">
        <v>398.67673999999994</v>
      </c>
      <c r="J23" s="1075">
        <v>398.67673999999994</v>
      </c>
      <c r="L23" s="965"/>
      <c r="N23" s="887"/>
    </row>
    <row r="24" spans="1:23" ht="15" customHeight="1">
      <c r="A24" s="990" t="s">
        <v>100</v>
      </c>
      <c r="B24" s="1076" t="s">
        <v>1007</v>
      </c>
      <c r="C24" s="1075">
        <v>716.08800000000019</v>
      </c>
      <c r="D24" s="1075">
        <v>802.22590000000002</v>
      </c>
      <c r="E24" s="1075">
        <v>612.16499999999985</v>
      </c>
      <c r="F24" s="1075">
        <v>8</v>
      </c>
      <c r="G24" s="1075">
        <v>620.16499999999985</v>
      </c>
      <c r="H24" s="1075">
        <v>716.08800000000019</v>
      </c>
      <c r="I24" s="1075">
        <v>683.851</v>
      </c>
      <c r="J24" s="1075">
        <v>802.22590000000002</v>
      </c>
      <c r="L24" s="965"/>
      <c r="N24" s="887"/>
    </row>
    <row r="25" spans="1:23" ht="15" customHeight="1">
      <c r="A25" s="990" t="s">
        <v>102</v>
      </c>
      <c r="B25" s="1076" t="s">
        <v>1008</v>
      </c>
      <c r="C25" s="1075">
        <v>95.702000000000012</v>
      </c>
      <c r="D25" s="1075">
        <v>107.1521</v>
      </c>
      <c r="E25" s="1075">
        <v>112.072</v>
      </c>
      <c r="F25" s="1075">
        <v>0</v>
      </c>
      <c r="G25" s="1075">
        <v>112.072</v>
      </c>
      <c r="H25" s="1075">
        <v>95.702000000000012</v>
      </c>
      <c r="I25" s="933">
        <v>123.2792</v>
      </c>
      <c r="J25" s="933">
        <v>107.1521</v>
      </c>
      <c r="L25" s="965"/>
      <c r="N25" s="887"/>
    </row>
    <row r="26" spans="1:23" ht="15" hidden="1" customHeight="1">
      <c r="A26" s="989" t="s">
        <v>96</v>
      </c>
      <c r="B26" s="1077" t="s">
        <v>107</v>
      </c>
      <c r="C26" s="1078">
        <v>1343.0480000000002</v>
      </c>
      <c r="D26" s="1078">
        <v>1681.39474</v>
      </c>
      <c r="E26" s="1078"/>
      <c r="F26" s="1078"/>
      <c r="G26" s="1078">
        <v>1273.4270000000001</v>
      </c>
      <c r="H26" s="1078"/>
      <c r="I26" s="1078">
        <v>1419.0408399999999</v>
      </c>
      <c r="J26" s="1066">
        <v>1419.0408399999999</v>
      </c>
      <c r="L26" s="965"/>
      <c r="N26" s="887"/>
    </row>
    <row r="27" spans="1:23" s="9" customFormat="1" ht="15" hidden="1" customHeight="1">
      <c r="A27" s="990" t="s">
        <v>108</v>
      </c>
      <c r="B27" s="1067" t="s">
        <v>109</v>
      </c>
      <c r="C27" s="1073"/>
      <c r="D27" s="1073"/>
      <c r="E27" s="1073"/>
      <c r="F27" s="1073"/>
      <c r="G27" s="1073"/>
      <c r="H27" s="1073"/>
      <c r="I27" s="1073"/>
      <c r="J27" s="1066">
        <v>0</v>
      </c>
      <c r="K27" s="564"/>
      <c r="L27" s="965"/>
      <c r="N27" s="887"/>
    </row>
    <row r="28" spans="1:23" s="9" customFormat="1" ht="15" hidden="1" customHeight="1">
      <c r="A28" s="990" t="s">
        <v>110</v>
      </c>
      <c r="B28" s="1067" t="s">
        <v>111</v>
      </c>
      <c r="C28" s="1073"/>
      <c r="D28" s="1073"/>
      <c r="E28" s="1073"/>
      <c r="F28" s="1073"/>
      <c r="G28" s="1073"/>
      <c r="H28" s="1073"/>
      <c r="I28" s="1073"/>
      <c r="J28" s="1066">
        <v>0</v>
      </c>
      <c r="K28" s="564"/>
      <c r="L28" s="965"/>
      <c r="N28" s="887"/>
    </row>
    <row r="29" spans="1:23" s="9" customFormat="1" ht="25.5">
      <c r="A29" s="1069" t="s">
        <v>1490</v>
      </c>
      <c r="B29" s="1067" t="s">
        <v>112</v>
      </c>
      <c r="C29" s="1073"/>
      <c r="D29" s="1073"/>
      <c r="E29" s="1073"/>
      <c r="F29" s="1073"/>
      <c r="G29" s="1073"/>
      <c r="H29" s="1073"/>
      <c r="I29" s="1073"/>
      <c r="J29" s="1066">
        <v>0</v>
      </c>
      <c r="K29" s="564"/>
      <c r="L29" s="965"/>
      <c r="N29" s="887"/>
    </row>
    <row r="30" spans="1:23" s="9" customFormat="1" ht="25.5">
      <c r="A30" s="1069" t="s">
        <v>105</v>
      </c>
      <c r="B30" s="1067" t="s">
        <v>113</v>
      </c>
      <c r="C30" s="1073"/>
      <c r="D30" s="1073"/>
      <c r="E30" s="1073"/>
      <c r="F30" s="1073"/>
      <c r="G30" s="1073"/>
      <c r="H30" s="1073"/>
      <c r="I30" s="1073"/>
      <c r="J30" s="1066">
        <v>0</v>
      </c>
      <c r="K30" s="564"/>
      <c r="L30" s="965"/>
      <c r="N30" s="887"/>
    </row>
    <row r="31" spans="1:23" ht="15" customHeight="1">
      <c r="A31" s="1235" t="s">
        <v>1489</v>
      </c>
      <c r="B31" s="1235"/>
      <c r="C31" s="1079">
        <v>193.41500000000002</v>
      </c>
      <c r="D31" s="1079">
        <v>281.30734580000001</v>
      </c>
      <c r="E31" s="1079">
        <v>173.87700000000001</v>
      </c>
      <c r="F31" s="1079">
        <v>25.170999999999999</v>
      </c>
      <c r="G31" s="1079">
        <v>199.048</v>
      </c>
      <c r="H31" s="1079">
        <v>193.41500000000002</v>
      </c>
      <c r="I31" s="1079">
        <v>281.30734580000006</v>
      </c>
      <c r="J31" s="1079">
        <v>250.88655000000003</v>
      </c>
      <c r="L31" s="965"/>
      <c r="N31" s="887"/>
      <c r="P31" s="550"/>
    </row>
    <row r="32" spans="1:23" ht="15" customHeight="1">
      <c r="A32" s="990" t="s">
        <v>95</v>
      </c>
      <c r="B32" s="1067" t="s">
        <v>114</v>
      </c>
      <c r="C32" s="1080"/>
      <c r="D32" s="1080">
        <v>11.085000000000001</v>
      </c>
      <c r="E32" s="1080">
        <v>0</v>
      </c>
      <c r="F32" s="1080"/>
      <c r="G32" s="1080">
        <v>0</v>
      </c>
      <c r="H32" s="1080"/>
      <c r="I32" s="1080">
        <v>11.085000000000001</v>
      </c>
      <c r="J32" s="1080">
        <v>5</v>
      </c>
      <c r="N32" s="887"/>
    </row>
    <row r="33" spans="1:18" ht="15" customHeight="1">
      <c r="A33" s="990" t="s">
        <v>98</v>
      </c>
      <c r="B33" s="1067" t="s">
        <v>115</v>
      </c>
      <c r="C33" s="1080">
        <v>5.7869999999999999</v>
      </c>
      <c r="D33" s="1080">
        <v>16.5</v>
      </c>
      <c r="E33" s="1080">
        <v>1.627</v>
      </c>
      <c r="F33" s="1080">
        <v>0</v>
      </c>
      <c r="G33" s="1080">
        <v>1.627</v>
      </c>
      <c r="H33" s="1080">
        <v>5.7869999999999999</v>
      </c>
      <c r="I33" s="1080">
        <v>16.5</v>
      </c>
      <c r="J33" s="1080">
        <v>10</v>
      </c>
      <c r="L33" s="565"/>
      <c r="N33" s="887"/>
    </row>
    <row r="34" spans="1:18" ht="15" customHeight="1">
      <c r="A34" s="990" t="s">
        <v>100</v>
      </c>
      <c r="B34" s="1067" t="s">
        <v>116</v>
      </c>
      <c r="C34" s="1080"/>
      <c r="D34" s="1080"/>
      <c r="E34" s="1080"/>
      <c r="F34" s="1080"/>
      <c r="G34" s="1080"/>
      <c r="H34" s="1080"/>
      <c r="I34" s="1080"/>
      <c r="J34" s="1066">
        <v>0</v>
      </c>
      <c r="L34" s="965"/>
      <c r="N34" s="887"/>
    </row>
    <row r="35" spans="1:18" ht="15" customHeight="1">
      <c r="A35" s="990" t="s">
        <v>102</v>
      </c>
      <c r="B35" s="1067" t="s">
        <v>117</v>
      </c>
      <c r="C35" s="1080"/>
      <c r="D35" s="1080"/>
      <c r="E35" s="1080"/>
      <c r="F35" s="1080"/>
      <c r="G35" s="1080"/>
      <c r="H35" s="1080"/>
      <c r="I35" s="1080"/>
      <c r="J35" s="1066">
        <v>0</v>
      </c>
      <c r="L35" s="965"/>
      <c r="N35" s="887"/>
    </row>
    <row r="36" spans="1:18" ht="15" customHeight="1">
      <c r="A36" s="1069" t="s">
        <v>1490</v>
      </c>
      <c r="B36" s="1067" t="s">
        <v>118</v>
      </c>
      <c r="C36" s="1080">
        <v>187.62800000000001</v>
      </c>
      <c r="D36" s="1080">
        <v>253.72234580000003</v>
      </c>
      <c r="E36" s="1080">
        <v>172.25</v>
      </c>
      <c r="F36" s="1080">
        <v>25.170999999999999</v>
      </c>
      <c r="G36" s="1080">
        <v>197.42099999999999</v>
      </c>
      <c r="H36" s="1080">
        <v>187.62800000000001</v>
      </c>
      <c r="I36" s="1080">
        <v>253.72234580000008</v>
      </c>
      <c r="J36" s="1080">
        <v>235.88655000000003</v>
      </c>
      <c r="L36" s="965"/>
      <c r="N36" s="887"/>
    </row>
    <row r="37" spans="1:18" ht="15" customHeight="1">
      <c r="A37" s="989" t="s">
        <v>1487</v>
      </c>
      <c r="B37" s="1077" t="s">
        <v>1423</v>
      </c>
      <c r="C37" s="1081">
        <v>3.1720000000000002</v>
      </c>
      <c r="D37" s="1081">
        <v>55.000000000000007</v>
      </c>
      <c r="E37" s="1081">
        <v>0</v>
      </c>
      <c r="F37" s="1081">
        <v>15</v>
      </c>
      <c r="G37" s="1081">
        <v>15</v>
      </c>
      <c r="H37" s="1081">
        <v>3.1720000000000002</v>
      </c>
      <c r="I37" s="1081">
        <v>55.000000000000007</v>
      </c>
      <c r="J37" s="1081"/>
      <c r="L37" s="965"/>
      <c r="N37" s="887"/>
    </row>
    <row r="38" spans="1:18" ht="15" customHeight="1">
      <c r="A38" s="1235" t="s">
        <v>1488</v>
      </c>
      <c r="B38" s="1235"/>
      <c r="C38" s="1082">
        <v>267.09899999999999</v>
      </c>
      <c r="D38" s="1082">
        <v>393</v>
      </c>
      <c r="E38" s="1082">
        <v>488</v>
      </c>
      <c r="F38" s="1082">
        <v>4.9699999999575084E-4</v>
      </c>
      <c r="G38" s="1082">
        <v>488.000497</v>
      </c>
      <c r="H38" s="1082">
        <v>267.09899999999999</v>
      </c>
      <c r="I38" s="1082">
        <v>270</v>
      </c>
      <c r="J38" s="1082">
        <v>100</v>
      </c>
      <c r="L38" s="965"/>
      <c r="N38" s="887"/>
    </row>
    <row r="39" spans="1:18" s="9" customFormat="1" ht="15" customHeight="1">
      <c r="A39" s="1234" t="s">
        <v>106</v>
      </c>
      <c r="B39" s="1234"/>
      <c r="C39" s="1083">
        <v>1806.7340000000002</v>
      </c>
      <c r="D39" s="1083">
        <v>2410.7020858000001</v>
      </c>
      <c r="E39" s="1083">
        <v>1927.3040000000001</v>
      </c>
      <c r="F39" s="1083">
        <v>48.171496999999995</v>
      </c>
      <c r="G39" s="1083">
        <v>1975.4754970000001</v>
      </c>
      <c r="H39" s="1083">
        <v>463.68600000000004</v>
      </c>
      <c r="I39" s="1083">
        <v>2025.3481858</v>
      </c>
      <c r="J39" s="1083">
        <v>2032.2812899999999</v>
      </c>
      <c r="K39" s="564"/>
      <c r="L39" s="975"/>
      <c r="N39" s="887"/>
      <c r="O39" s="1043"/>
      <c r="P39" s="975"/>
    </row>
    <row r="40" spans="1:18" s="9" customFormat="1" ht="8.1" customHeight="1">
      <c r="A40" s="1248"/>
      <c r="B40" s="1248"/>
      <c r="C40" s="1248"/>
      <c r="D40" s="1248"/>
      <c r="E40" s="1248"/>
      <c r="F40" s="1248"/>
      <c r="G40" s="1248"/>
      <c r="H40" s="1248"/>
      <c r="I40" s="1248"/>
      <c r="J40" s="1066">
        <v>0</v>
      </c>
      <c r="K40" s="564"/>
      <c r="N40" s="887"/>
    </row>
    <row r="41" spans="1:18" s="155" customFormat="1" ht="17.25" customHeight="1">
      <c r="A41" s="1247" t="s">
        <v>119</v>
      </c>
      <c r="B41" s="1247"/>
      <c r="C41" s="1084">
        <v>3348.9410000000003</v>
      </c>
      <c r="D41" s="1084">
        <v>3767.4741448</v>
      </c>
      <c r="E41" s="1084">
        <v>2885.98</v>
      </c>
      <c r="F41" s="1084">
        <v>686.45955600000002</v>
      </c>
      <c r="G41" s="1084">
        <v>3572.4395560000003</v>
      </c>
      <c r="H41" s="1084">
        <v>2005.893</v>
      </c>
      <c r="I41" s="1084">
        <v>2958.5027133666667</v>
      </c>
      <c r="J41" s="1084">
        <v>4435.1052900000004</v>
      </c>
      <c r="K41" s="551"/>
      <c r="L41" s="1118"/>
      <c r="N41" s="887"/>
    </row>
    <row r="42" spans="1:18" s="155" customFormat="1" ht="5.0999999999999996" customHeight="1">
      <c r="A42" s="1139"/>
      <c r="B42" s="1140"/>
      <c r="C42" s="1140"/>
      <c r="D42" s="1140"/>
      <c r="E42" s="1140"/>
      <c r="F42" s="1140"/>
      <c r="G42" s="1140"/>
      <c r="H42" s="1140"/>
      <c r="I42" s="1141"/>
      <c r="J42" s="1142"/>
      <c r="K42" s="1143"/>
      <c r="L42" s="1143"/>
      <c r="M42" s="1143"/>
      <c r="N42" s="1143"/>
      <c r="O42" s="1143"/>
      <c r="P42" s="1143"/>
      <c r="Q42" s="1143"/>
      <c r="R42" s="1144"/>
    </row>
    <row r="43" spans="1:18" s="155" customFormat="1" ht="21.95" customHeight="1">
      <c r="A43" s="1235" t="s">
        <v>987</v>
      </c>
      <c r="B43" s="1235"/>
      <c r="C43" s="1079">
        <v>3279.4879999999998</v>
      </c>
      <c r="D43" s="1079">
        <v>3922.7070709999994</v>
      </c>
      <c r="E43" s="1079">
        <v>2568.5450000000001</v>
      </c>
      <c r="F43" s="1079">
        <v>1328.527071</v>
      </c>
      <c r="G43" s="1079">
        <v>3897.0720710000001</v>
      </c>
      <c r="H43" s="1079">
        <v>3281.578</v>
      </c>
      <c r="I43" s="1079">
        <v>4100.4882361</v>
      </c>
      <c r="J43" s="1070">
        <v>4291.7627000000002</v>
      </c>
      <c r="K43" s="551"/>
      <c r="N43" s="887"/>
    </row>
    <row r="44" spans="1:18" ht="18.95" customHeight="1">
      <c r="A44" s="990" t="s">
        <v>95</v>
      </c>
      <c r="B44" s="1067" t="s">
        <v>120</v>
      </c>
      <c r="C44" s="1065">
        <v>755.69500000000005</v>
      </c>
      <c r="D44" s="1065">
        <v>903.86</v>
      </c>
      <c r="E44" s="1065">
        <v>593.23500000000001</v>
      </c>
      <c r="F44" s="1065">
        <v>310.625</v>
      </c>
      <c r="G44" s="1065">
        <v>903.86</v>
      </c>
      <c r="H44" s="1065">
        <v>755.69500000000005</v>
      </c>
      <c r="I44" s="1065">
        <v>978.032106</v>
      </c>
      <c r="J44" s="1071">
        <v>1058.2929999999999</v>
      </c>
      <c r="L44" s="965"/>
      <c r="N44" s="887"/>
    </row>
    <row r="45" spans="1:18" ht="18.95" customHeight="1">
      <c r="A45" s="990" t="s">
        <v>98</v>
      </c>
      <c r="B45" s="1067" t="s">
        <v>121</v>
      </c>
      <c r="C45" s="1065">
        <v>99.037999999999997</v>
      </c>
      <c r="D45" s="1065">
        <v>101.55107099999999</v>
      </c>
      <c r="E45" s="1065">
        <v>73.477000000000004</v>
      </c>
      <c r="F45" s="1065">
        <v>28.074070999999989</v>
      </c>
      <c r="G45" s="1065">
        <v>101.55107099999999</v>
      </c>
      <c r="H45" s="1065">
        <v>99.037999999999997</v>
      </c>
      <c r="I45" s="1065">
        <v>111.7061781</v>
      </c>
      <c r="J45" s="1071">
        <v>97.198999999999998</v>
      </c>
      <c r="L45" s="965"/>
      <c r="N45" s="887"/>
    </row>
    <row r="46" spans="1:18" ht="18.95" customHeight="1">
      <c r="A46" s="990" t="s">
        <v>100</v>
      </c>
      <c r="B46" s="1067" t="s">
        <v>122</v>
      </c>
      <c r="C46" s="1065">
        <v>237.36699999999999</v>
      </c>
      <c r="D46" s="1065">
        <v>312.84300000000002</v>
      </c>
      <c r="E46" s="1065">
        <v>158.22499999999999</v>
      </c>
      <c r="F46" s="1065">
        <v>164.07800000000003</v>
      </c>
      <c r="G46" s="1065">
        <v>322.303</v>
      </c>
      <c r="H46" s="1065">
        <v>237.36699999999999</v>
      </c>
      <c r="I46" s="1065">
        <v>333.42055200000004</v>
      </c>
      <c r="J46" s="1071">
        <v>367.31200000000001</v>
      </c>
      <c r="L46" s="965"/>
      <c r="N46" s="887"/>
    </row>
    <row r="47" spans="1:18" ht="20.100000000000001" customHeight="1">
      <c r="A47" s="990" t="s">
        <v>102</v>
      </c>
      <c r="B47" s="1068" t="s">
        <v>991</v>
      </c>
      <c r="C47" s="1065">
        <v>475.62200000000001</v>
      </c>
      <c r="D47" s="1065">
        <v>540.59400000000005</v>
      </c>
      <c r="E47" s="1065">
        <v>419.66899999999998</v>
      </c>
      <c r="F47" s="1065">
        <v>120.92500000000007</v>
      </c>
      <c r="G47" s="1065">
        <v>540.59400000000005</v>
      </c>
      <c r="H47" s="1065">
        <v>475.62200000000001</v>
      </c>
      <c r="I47" s="1065">
        <v>577.06684999999993</v>
      </c>
      <c r="J47" s="1071">
        <v>615.11800000000005</v>
      </c>
      <c r="L47" s="965"/>
      <c r="M47" s="550"/>
      <c r="N47" s="887"/>
      <c r="P47" s="565"/>
    </row>
    <row r="48" spans="1:18" ht="18.95" customHeight="1">
      <c r="A48" s="990" t="s">
        <v>104</v>
      </c>
      <c r="B48" s="1067" t="s">
        <v>123</v>
      </c>
      <c r="C48" s="1065">
        <v>168.81</v>
      </c>
      <c r="D48" s="1065">
        <v>149.33260000000001</v>
      </c>
      <c r="E48" s="1065">
        <v>123.267</v>
      </c>
      <c r="F48" s="1065">
        <v>37.112500000000004</v>
      </c>
      <c r="G48" s="1065">
        <v>160.37950000000004</v>
      </c>
      <c r="H48" s="1065">
        <v>168.81</v>
      </c>
      <c r="I48" s="1065">
        <v>150.25614999999999</v>
      </c>
      <c r="J48" s="1065">
        <v>151.953</v>
      </c>
      <c r="L48" s="965"/>
      <c r="N48" s="887"/>
    </row>
    <row r="49" spans="1:16" ht="18.95" customHeight="1">
      <c r="A49" s="990" t="s">
        <v>105</v>
      </c>
      <c r="B49" s="1067" t="s">
        <v>124</v>
      </c>
      <c r="C49" s="1065">
        <v>633.53500000000008</v>
      </c>
      <c r="D49" s="1065">
        <v>778.12569999999982</v>
      </c>
      <c r="E49" s="1065">
        <v>479.93099999999998</v>
      </c>
      <c r="F49" s="1065">
        <v>263.32279999999997</v>
      </c>
      <c r="G49" s="1065">
        <v>743.25379999999996</v>
      </c>
      <c r="H49" s="1065">
        <v>635.62500000000023</v>
      </c>
      <c r="I49" s="1065">
        <v>824.10569999999984</v>
      </c>
      <c r="J49" s="1065">
        <v>857.33899999999994</v>
      </c>
      <c r="L49" s="965"/>
      <c r="N49" s="887"/>
    </row>
    <row r="50" spans="1:16" ht="18.95" customHeight="1">
      <c r="A50" s="1069" t="s">
        <v>125</v>
      </c>
      <c r="B50" s="1068" t="s">
        <v>1509</v>
      </c>
      <c r="C50" s="1065">
        <v>906.43200000000002</v>
      </c>
      <c r="D50" s="1065">
        <v>1074.7517</v>
      </c>
      <c r="E50" s="1065">
        <v>709.59900000000005</v>
      </c>
      <c r="F50" s="1065">
        <v>367.50470000000001</v>
      </c>
      <c r="G50" s="1065">
        <v>1077.1037000000001</v>
      </c>
      <c r="H50" s="1065">
        <v>906.43200000000002</v>
      </c>
      <c r="I50" s="1065">
        <v>1074.7517</v>
      </c>
      <c r="J50" s="1065">
        <v>1103.0487000000001</v>
      </c>
      <c r="L50" s="965"/>
      <c r="N50" s="887"/>
      <c r="P50" s="552"/>
    </row>
    <row r="51" spans="1:16" ht="18.95" customHeight="1">
      <c r="A51" s="1069" t="s">
        <v>855</v>
      </c>
      <c r="B51" s="1068" t="s">
        <v>1510</v>
      </c>
      <c r="C51" s="1065"/>
      <c r="D51" s="1065">
        <v>30.5</v>
      </c>
      <c r="E51" s="1065">
        <v>10.878</v>
      </c>
      <c r="F51" s="1065">
        <v>6</v>
      </c>
      <c r="G51" s="1065">
        <v>16.878</v>
      </c>
      <c r="H51" s="1065"/>
      <c r="I51" s="1065">
        <v>20</v>
      </c>
      <c r="J51" s="1065">
        <v>30.5</v>
      </c>
      <c r="L51" s="965"/>
      <c r="N51" s="887"/>
    </row>
    <row r="52" spans="1:16" ht="18.95" customHeight="1">
      <c r="A52" s="1069" t="s">
        <v>1386</v>
      </c>
      <c r="B52" s="1067" t="s">
        <v>126</v>
      </c>
      <c r="C52" s="1065">
        <v>2.6019999999999999</v>
      </c>
      <c r="D52" s="1065">
        <v>27.649000000000001</v>
      </c>
      <c r="E52" s="1065">
        <v>0.2</v>
      </c>
      <c r="F52" s="1065">
        <v>27.449000000000002</v>
      </c>
      <c r="G52" s="1065">
        <v>27.649000000000001</v>
      </c>
      <c r="H52" s="1065">
        <v>2.6019999999999999</v>
      </c>
      <c r="I52" s="1065">
        <v>27.649000000000001</v>
      </c>
      <c r="J52" s="1065">
        <v>10</v>
      </c>
      <c r="L52" s="965"/>
      <c r="N52" s="887"/>
    </row>
    <row r="53" spans="1:16" ht="18.95" customHeight="1">
      <c r="A53" s="1069" t="s">
        <v>1424</v>
      </c>
      <c r="B53" s="1068" t="s">
        <v>856</v>
      </c>
      <c r="C53" s="1065">
        <v>0.38700000000000001</v>
      </c>
      <c r="D53" s="1065">
        <v>3.5</v>
      </c>
      <c r="E53" s="1065">
        <v>6.4000000000000001E-2</v>
      </c>
      <c r="F53" s="1065">
        <v>3.4359999999999999</v>
      </c>
      <c r="G53" s="1065">
        <v>3.5</v>
      </c>
      <c r="H53" s="1065">
        <v>0.38700000000000001</v>
      </c>
      <c r="I53" s="1065">
        <v>3.5</v>
      </c>
      <c r="J53" s="1065">
        <v>1</v>
      </c>
      <c r="L53" s="965"/>
      <c r="N53" s="887"/>
    </row>
    <row r="54" spans="1:16" s="156" customFormat="1" ht="6" customHeight="1">
      <c r="A54" s="1145"/>
      <c r="B54" s="1146"/>
      <c r="C54" s="1146"/>
      <c r="D54" s="1146"/>
      <c r="E54" s="1146"/>
      <c r="F54" s="1146"/>
      <c r="G54" s="1146"/>
      <c r="H54" s="1146"/>
      <c r="I54" s="1147"/>
      <c r="J54" s="1066">
        <v>0</v>
      </c>
      <c r="K54" s="971"/>
      <c r="L54" s="965"/>
      <c r="N54" s="887"/>
    </row>
    <row r="55" spans="1:16" s="9" customFormat="1" ht="21" customHeight="1">
      <c r="A55" s="1234" t="s">
        <v>860</v>
      </c>
      <c r="B55" s="1234"/>
      <c r="C55" s="1085">
        <v>1736.5320000000002</v>
      </c>
      <c r="D55" s="1085">
        <v>2008.1806710000001</v>
      </c>
      <c r="E55" s="1085">
        <v>1367.873</v>
      </c>
      <c r="F55" s="1085">
        <v>660.81457100000011</v>
      </c>
      <c r="G55" s="1085">
        <v>2028.6875709999999</v>
      </c>
      <c r="H55" s="1085">
        <v>1736.5320000000002</v>
      </c>
      <c r="I55" s="1085">
        <v>2150.4818361000002</v>
      </c>
      <c r="J55" s="1085">
        <v>2289.875</v>
      </c>
      <c r="K55" s="564"/>
      <c r="L55" s="965"/>
      <c r="M55" s="564"/>
      <c r="N55" s="887"/>
      <c r="P55" s="1151"/>
    </row>
    <row r="56" spans="1:16" s="9" customFormat="1" ht="21" customHeight="1">
      <c r="A56" s="1234" t="s">
        <v>861</v>
      </c>
      <c r="B56" s="1234"/>
      <c r="C56" s="1085">
        <v>1542.9560000000001</v>
      </c>
      <c r="D56" s="1085">
        <v>1914.5263999999997</v>
      </c>
      <c r="E56" s="1085">
        <v>1200.672</v>
      </c>
      <c r="F56" s="1085">
        <v>667.71249999999998</v>
      </c>
      <c r="G56" s="1085">
        <v>1868.3845000000001</v>
      </c>
      <c r="H56" s="1085">
        <v>1545.0460000000003</v>
      </c>
      <c r="I56" s="1085">
        <v>1950.0063999999998</v>
      </c>
      <c r="J56" s="1085">
        <v>2001.8877</v>
      </c>
      <c r="K56" s="564"/>
      <c r="L56" s="965"/>
      <c r="M56" s="975"/>
      <c r="N56" s="887"/>
      <c r="P56" s="1151"/>
    </row>
    <row r="57" spans="1:16" ht="21" customHeight="1">
      <c r="A57" s="1243" t="s">
        <v>127</v>
      </c>
      <c r="B57" s="1243"/>
      <c r="C57" s="1081">
        <v>3279.4880000000003</v>
      </c>
      <c r="D57" s="1081">
        <v>3922.7070709999998</v>
      </c>
      <c r="E57" s="1081">
        <v>2568.5450000000001</v>
      </c>
      <c r="F57" s="1081">
        <v>1328.527071</v>
      </c>
      <c r="G57" s="1081">
        <v>3897.0720710000001</v>
      </c>
      <c r="H57" s="1081">
        <v>3281.5780000000004</v>
      </c>
      <c r="I57" s="1085">
        <v>4100.4882361</v>
      </c>
      <c r="J57" s="1085">
        <v>4291.7627000000002</v>
      </c>
      <c r="L57" s="565"/>
      <c r="N57" s="887"/>
    </row>
    <row r="58" spans="1:16" s="156" customFormat="1" ht="6" customHeight="1">
      <c r="A58" s="1145"/>
      <c r="B58" s="1146"/>
      <c r="C58" s="1146"/>
      <c r="D58" s="1146"/>
      <c r="E58" s="1146"/>
      <c r="F58" s="1146"/>
      <c r="G58" s="1146"/>
      <c r="H58" s="1146"/>
      <c r="I58" s="1147"/>
      <c r="J58" s="1066">
        <v>0</v>
      </c>
      <c r="K58" s="971"/>
      <c r="N58" s="887"/>
    </row>
    <row r="59" spans="1:16" ht="18" customHeight="1">
      <c r="A59" s="1243" t="s">
        <v>128</v>
      </c>
      <c r="B59" s="1243"/>
      <c r="C59" s="1081">
        <v>69.452999999999975</v>
      </c>
      <c r="D59" s="1081">
        <v>-155.23292619999984</v>
      </c>
      <c r="E59" s="1081">
        <v>317.43499999999995</v>
      </c>
      <c r="F59" s="1081">
        <v>-642.06751499999996</v>
      </c>
      <c r="G59" s="1081">
        <v>-324.63251499999978</v>
      </c>
      <c r="H59" s="1081">
        <v>-1275.6850000000004</v>
      </c>
      <c r="I59" s="1085">
        <v>-1141.9855227333333</v>
      </c>
      <c r="J59" s="1085">
        <v>143.3425900000002</v>
      </c>
      <c r="N59" s="887"/>
    </row>
    <row r="60" spans="1:16" ht="18" customHeight="1">
      <c r="A60" s="1249" t="s">
        <v>1522</v>
      </c>
      <c r="B60" s="1250"/>
      <c r="C60" s="1081">
        <v>-382.96800000000002</v>
      </c>
      <c r="D60" s="1081">
        <v>-437.77699999999993</v>
      </c>
      <c r="E60" s="1081">
        <v>-437.77699999999993</v>
      </c>
      <c r="F60" s="1081">
        <v>-221.72899999999998</v>
      </c>
      <c r="G60" s="1081">
        <v>-437.77700000000004</v>
      </c>
      <c r="H60" s="1081">
        <v>-437.77699999999993</v>
      </c>
      <c r="I60" s="1085">
        <v>-921.80623733333289</v>
      </c>
      <c r="J60" s="1085">
        <v>-942.49393733333318</v>
      </c>
      <c r="N60" s="887"/>
    </row>
    <row r="61" spans="1:16" ht="18" customHeight="1">
      <c r="A61" s="1249" t="s">
        <v>1523</v>
      </c>
      <c r="B61" s="1250"/>
      <c r="C61" s="1081">
        <v>-313.51500000000004</v>
      </c>
      <c r="D61" s="1081">
        <v>-593.00992619999977</v>
      </c>
      <c r="E61" s="1081">
        <v>-120.34199999999998</v>
      </c>
      <c r="F61" s="1081">
        <v>-863.796515</v>
      </c>
      <c r="G61" s="1081">
        <v>-762.40951499999983</v>
      </c>
      <c r="H61" s="1081">
        <v>-1713.4620000000004</v>
      </c>
      <c r="I61" s="1081">
        <v>-2063.791760066666</v>
      </c>
      <c r="J61" s="1081">
        <v>-799.15134733333298</v>
      </c>
      <c r="N61" s="887"/>
    </row>
    <row r="62" spans="1:16" ht="18.95" customHeight="1">
      <c r="A62" s="1246" t="s">
        <v>1185</v>
      </c>
      <c r="B62" s="1246"/>
      <c r="C62" s="1246"/>
      <c r="D62" s="1246"/>
      <c r="E62" s="1246"/>
      <c r="F62" s="1246"/>
      <c r="G62" s="1246"/>
      <c r="H62" s="1246"/>
      <c r="I62" s="1246"/>
      <c r="J62" s="1066">
        <v>0</v>
      </c>
      <c r="N62" s="887"/>
      <c r="O62" s="552"/>
    </row>
    <row r="63" spans="1:16" ht="18.95" customHeight="1">
      <c r="A63" s="557" t="s">
        <v>1186</v>
      </c>
      <c r="B63" s="558" t="s">
        <v>1187</v>
      </c>
      <c r="C63" s="1065">
        <v>41.960999999999991</v>
      </c>
      <c r="D63" s="1065">
        <v>77.040126299999997</v>
      </c>
      <c r="E63" s="1065">
        <v>32.218000000000004</v>
      </c>
      <c r="F63" s="1065">
        <v>4.1416666666666657</v>
      </c>
      <c r="G63" s="1065">
        <v>36.359666666666669</v>
      </c>
      <c r="H63" s="1065">
        <v>0</v>
      </c>
      <c r="I63" s="1065">
        <v>43.299066666666675</v>
      </c>
      <c r="J63" s="1066">
        <v>47.325600000000001</v>
      </c>
      <c r="N63" s="887"/>
    </row>
    <row r="64" spans="1:16" ht="18.95" customHeight="1">
      <c r="A64" s="557" t="s">
        <v>1188</v>
      </c>
      <c r="B64" s="1086" t="s">
        <v>1494</v>
      </c>
      <c r="C64" s="1065">
        <v>2.089</v>
      </c>
      <c r="D64" s="1065">
        <v>2.7829999999999999</v>
      </c>
      <c r="E64" s="1065">
        <v>0</v>
      </c>
      <c r="F64" s="1065">
        <v>2.7829999999999999</v>
      </c>
      <c r="G64" s="1065">
        <v>2.7829999999999999</v>
      </c>
      <c r="H64" s="1065">
        <v>0</v>
      </c>
      <c r="I64" s="1065">
        <v>3.0613000000000001</v>
      </c>
      <c r="J64" s="1066">
        <v>3.0613000000000001</v>
      </c>
      <c r="N64" s="887"/>
    </row>
    <row r="65" spans="1:14" ht="18.95" customHeight="1">
      <c r="A65" s="557" t="s">
        <v>1426</v>
      </c>
      <c r="B65" s="558" t="s">
        <v>1189</v>
      </c>
      <c r="C65" s="1065">
        <v>168.31200000000001</v>
      </c>
      <c r="D65" s="1065">
        <v>219.21208900000002</v>
      </c>
      <c r="E65" s="1065">
        <v>133.60499999999999</v>
      </c>
      <c r="F65" s="1065">
        <v>85.622089000000003</v>
      </c>
      <c r="G65" s="1065">
        <v>219.22708899999998</v>
      </c>
      <c r="H65" s="1065">
        <v>0</v>
      </c>
      <c r="I65" s="1065">
        <v>207.88925999999998</v>
      </c>
      <c r="J65" s="1066">
        <v>233.288904</v>
      </c>
      <c r="M65" s="552"/>
      <c r="N65" s="887"/>
    </row>
    <row r="66" spans="1:14" ht="18.95" customHeight="1">
      <c r="A66" s="557"/>
      <c r="B66" s="556" t="s">
        <v>1524</v>
      </c>
      <c r="C66" s="1087">
        <v>-124.26200000000003</v>
      </c>
      <c r="D66" s="1087">
        <v>-139.38896270000004</v>
      </c>
      <c r="E66" s="1087">
        <v>-101.38699999999999</v>
      </c>
      <c r="F66" s="1087">
        <v>-78.697422333333336</v>
      </c>
      <c r="G66" s="1087">
        <v>-180.08442233333329</v>
      </c>
      <c r="H66" s="1087">
        <v>0</v>
      </c>
      <c r="I66" s="1087">
        <v>-161.52889333333331</v>
      </c>
      <c r="J66" s="1087">
        <v>-182.90200400000001</v>
      </c>
      <c r="K66" s="974"/>
      <c r="N66" s="887"/>
    </row>
    <row r="67" spans="1:14" ht="17.25" customHeight="1">
      <c r="A67" s="1019"/>
      <c r="B67" s="1019" t="s">
        <v>1190</v>
      </c>
      <c r="C67" s="1020">
        <v>-437.77700000000004</v>
      </c>
      <c r="D67" s="1020">
        <v>-732.39888889999975</v>
      </c>
      <c r="E67" s="1020">
        <v>-221.72899999999998</v>
      </c>
      <c r="F67" s="1020">
        <v>-942.49393733333329</v>
      </c>
      <c r="G67" s="1020">
        <v>-942.49393733333318</v>
      </c>
      <c r="H67" s="1020">
        <v>-1713.4620000000004</v>
      </c>
      <c r="I67" s="1020">
        <v>-2225.3206533999992</v>
      </c>
      <c r="J67" s="1020">
        <v>-982.05335133333301</v>
      </c>
      <c r="L67" s="552"/>
      <c r="N67" s="887"/>
    </row>
    <row r="68" spans="1:14" ht="18.75" hidden="1" customHeight="1">
      <c r="A68" s="556"/>
      <c r="B68" s="556"/>
      <c r="C68" s="556"/>
      <c r="D68" s="556"/>
      <c r="E68" s="556"/>
      <c r="F68" s="556"/>
      <c r="G68" s="556"/>
      <c r="H68" s="556"/>
      <c r="I68" s="556"/>
      <c r="N68" s="887"/>
    </row>
    <row r="69" spans="1:14" ht="15.75" hidden="1" customHeight="1">
      <c r="A69" s="177" t="s">
        <v>129</v>
      </c>
      <c r="B69" s="175" t="s">
        <v>130</v>
      </c>
      <c r="C69" s="548"/>
      <c r="D69" s="548">
        <v>3817.6480000000001</v>
      </c>
      <c r="E69" s="548"/>
      <c r="F69" s="548"/>
      <c r="G69" s="548"/>
      <c r="H69" s="1052"/>
      <c r="I69" s="549"/>
      <c r="N69" s="887"/>
    </row>
    <row r="70" spans="1:14" ht="15.75" hidden="1" customHeight="1">
      <c r="A70" s="177" t="s">
        <v>131</v>
      </c>
      <c r="B70" s="175" t="s">
        <v>988</v>
      </c>
      <c r="C70" s="548"/>
      <c r="D70" s="548"/>
      <c r="E70" s="548"/>
      <c r="F70" s="548"/>
      <c r="G70" s="548">
        <v>370</v>
      </c>
      <c r="H70" s="1052"/>
      <c r="I70" s="549">
        <v>370</v>
      </c>
      <c r="N70" s="887"/>
    </row>
    <row r="71" spans="1:14" s="9" customFormat="1" ht="15.75" hidden="1" customHeight="1">
      <c r="A71" s="177" t="s">
        <v>132</v>
      </c>
      <c r="B71" s="175" t="s">
        <v>989</v>
      </c>
      <c r="C71" s="548"/>
      <c r="D71" s="548"/>
      <c r="E71" s="548"/>
      <c r="F71" s="548"/>
      <c r="G71" s="548">
        <v>370</v>
      </c>
      <c r="H71" s="1052"/>
      <c r="I71" s="549">
        <v>370</v>
      </c>
      <c r="K71" s="564"/>
      <c r="N71" s="887"/>
    </row>
    <row r="72" spans="1:14" s="9" customFormat="1" ht="15.75" hidden="1" customHeight="1">
      <c r="A72" s="177" t="s">
        <v>996</v>
      </c>
      <c r="B72" s="175" t="s">
        <v>990</v>
      </c>
      <c r="C72" s="548"/>
      <c r="D72" s="548"/>
      <c r="E72" s="548"/>
      <c r="F72" s="548"/>
      <c r="G72" s="548">
        <v>20.913</v>
      </c>
      <c r="H72" s="1052"/>
      <c r="I72" s="549">
        <v>20.913</v>
      </c>
      <c r="K72" s="564"/>
      <c r="N72" s="887"/>
    </row>
    <row r="74" spans="1:14" ht="15" hidden="1">
      <c r="A74" s="1137" t="s">
        <v>129</v>
      </c>
      <c r="B74" s="1138" t="s">
        <v>130</v>
      </c>
      <c r="C74" s="548"/>
      <c r="D74" s="548"/>
      <c r="E74" s="1052"/>
      <c r="F74" s="1148"/>
      <c r="G74" s="1149"/>
      <c r="J74" s="549"/>
    </row>
    <row r="75" spans="1:14" ht="15">
      <c r="A75" s="1137" t="s">
        <v>1528</v>
      </c>
      <c r="B75" s="1138" t="s">
        <v>988</v>
      </c>
      <c r="C75" s="548"/>
      <c r="D75" s="548"/>
      <c r="E75" s="1052"/>
      <c r="F75" s="1148"/>
      <c r="G75" s="1149"/>
      <c r="J75" s="549">
        <v>250.75700000000001</v>
      </c>
    </row>
    <row r="76" spans="1:14" ht="15" hidden="1">
      <c r="A76" s="1137" t="s">
        <v>132</v>
      </c>
      <c r="B76" s="1138" t="s">
        <v>989</v>
      </c>
      <c r="C76" s="548"/>
      <c r="D76" s="548"/>
      <c r="E76" s="1052"/>
      <c r="F76" s="1148"/>
      <c r="G76" s="1149"/>
      <c r="H76" s="565">
        <v>-1275.6860000000004</v>
      </c>
      <c r="I76" s="552">
        <v>-1831.8346533999993</v>
      </c>
      <c r="J76" s="549"/>
    </row>
    <row r="77" spans="1:14" ht="15">
      <c r="A77" s="1137" t="s">
        <v>1458</v>
      </c>
      <c r="B77" s="1138" t="s">
        <v>990</v>
      </c>
      <c r="C77" s="548"/>
      <c r="D77" s="548"/>
      <c r="E77" s="1052"/>
      <c r="F77" s="1148"/>
      <c r="G77" s="1148"/>
      <c r="J77" s="1149">
        <v>21.052</v>
      </c>
    </row>
    <row r="80" spans="1:14">
      <c r="J80" s="552">
        <f>J67+982.316</f>
        <v>0.26264866666701892</v>
      </c>
    </row>
    <row r="84" spans="3:10">
      <c r="C84" s="552"/>
      <c r="D84" s="552"/>
      <c r="E84" s="552"/>
      <c r="F84" s="552"/>
      <c r="G84" s="552"/>
      <c r="H84" s="552"/>
      <c r="I84" s="552"/>
      <c r="J84" s="552"/>
    </row>
    <row r="86" spans="3:10">
      <c r="C86" s="552"/>
      <c r="D86" s="552"/>
      <c r="E86" s="552"/>
      <c r="F86" s="552"/>
      <c r="G86" s="552"/>
      <c r="H86" s="552"/>
      <c r="I86" s="552"/>
      <c r="J86" s="552"/>
    </row>
    <row r="88" spans="3:10">
      <c r="C88" s="552"/>
      <c r="D88" s="552"/>
      <c r="E88" s="552"/>
      <c r="F88" s="552"/>
      <c r="G88" s="552"/>
      <c r="H88" s="552"/>
      <c r="I88" s="552"/>
      <c r="J88" s="552"/>
    </row>
  </sheetData>
  <mergeCells count="60">
    <mergeCell ref="GL2:GR2"/>
    <mergeCell ref="GS2:GY2"/>
    <mergeCell ref="D9:H9"/>
    <mergeCell ref="FJ2:FP2"/>
    <mergeCell ref="FQ2:FW2"/>
    <mergeCell ref="FX2:GD2"/>
    <mergeCell ref="GE2:GK2"/>
    <mergeCell ref="CY2:DE2"/>
    <mergeCell ref="EA2:EG2"/>
    <mergeCell ref="DF2:DL2"/>
    <mergeCell ref="EH2:EN2"/>
    <mergeCell ref="EO2:EU2"/>
    <mergeCell ref="EV2:FB2"/>
    <mergeCell ref="L2:R2"/>
    <mergeCell ref="S2:Y2"/>
    <mergeCell ref="Z2:AF2"/>
    <mergeCell ref="IP2:IS2"/>
    <mergeCell ref="GZ2:HF2"/>
    <mergeCell ref="HG2:HM2"/>
    <mergeCell ref="HN2:HT2"/>
    <mergeCell ref="HU2:IA2"/>
    <mergeCell ref="IB2:IH2"/>
    <mergeCell ref="II2:IO2"/>
    <mergeCell ref="DT2:DZ2"/>
    <mergeCell ref="FC2:FI2"/>
    <mergeCell ref="DM2:DS2"/>
    <mergeCell ref="AG2:AM2"/>
    <mergeCell ref="BW2:CC2"/>
    <mergeCell ref="CD2:CJ2"/>
    <mergeCell ref="CK2:CQ2"/>
    <mergeCell ref="CR2:CX2"/>
    <mergeCell ref="BP2:BV2"/>
    <mergeCell ref="AN2:AT2"/>
    <mergeCell ref="AU2:BA2"/>
    <mergeCell ref="BB2:BH2"/>
    <mergeCell ref="BI2:BO2"/>
    <mergeCell ref="A57:B57"/>
    <mergeCell ref="A56:B56"/>
    <mergeCell ref="A43:B43"/>
    <mergeCell ref="P17:W17"/>
    <mergeCell ref="A62:I62"/>
    <mergeCell ref="A41:B41"/>
    <mergeCell ref="A55:B55"/>
    <mergeCell ref="A38:B38"/>
    <mergeCell ref="A40:I40"/>
    <mergeCell ref="A59:B59"/>
    <mergeCell ref="A60:B60"/>
    <mergeCell ref="A61:B61"/>
    <mergeCell ref="A2:J2"/>
    <mergeCell ref="J9:J10"/>
    <mergeCell ref="A3:J7"/>
    <mergeCell ref="A39:B39"/>
    <mergeCell ref="A21:B21"/>
    <mergeCell ref="A31:B31"/>
    <mergeCell ref="A11:B11"/>
    <mergeCell ref="A9:B10"/>
    <mergeCell ref="C9:C10"/>
    <mergeCell ref="I9:I10"/>
    <mergeCell ref="A13:B13"/>
    <mergeCell ref="A12:I12"/>
  </mergeCells>
  <dataValidations disablePrompts="1" count="1">
    <dataValidation allowBlank="1" showInputMessage="1" showErrorMessage="1" promptTitle="NB" prompt="From Public / Governemnt sources" sqref="D19"/>
  </dataValidations>
  <printOptions horizontalCentered="1"/>
  <pageMargins left="0.45" right="0.45" top="0.25" bottom="0.2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9"/>
  <sheetViews>
    <sheetView view="pageBreakPreview" topLeftCell="A154" zoomScaleSheetLayoutView="100" workbookViewId="0">
      <selection activeCell="H14" sqref="H14"/>
    </sheetView>
  </sheetViews>
  <sheetFormatPr defaultRowHeight="14.25"/>
  <cols>
    <col min="1" max="1" width="3.7109375" style="227" customWidth="1"/>
    <col min="2" max="2" width="22.7109375" style="186" customWidth="1"/>
    <col min="3" max="3" width="7.42578125" style="1" customWidth="1"/>
    <col min="4" max="4" width="6.7109375" style="1" bestFit="1" customWidth="1"/>
    <col min="5" max="5" width="7.5703125" style="1" bestFit="1" customWidth="1"/>
    <col min="6" max="7" width="6.7109375" style="1" bestFit="1" customWidth="1"/>
    <col min="8" max="8" width="7.5703125" style="1" bestFit="1" customWidth="1"/>
    <col min="9" max="10" width="5.7109375" style="1" customWidth="1"/>
    <col min="11" max="11" width="6.7109375" style="1" bestFit="1" customWidth="1"/>
    <col min="12" max="14" width="5.7109375" style="1" customWidth="1"/>
    <col min="15" max="15" width="7.7109375" style="1" customWidth="1"/>
    <col min="16" max="16" width="36.85546875" style="10" customWidth="1"/>
    <col min="17" max="23" width="14.28515625" style="10" customWidth="1"/>
    <col min="24" max="238" width="9.140625" style="10"/>
    <col min="239" max="239" width="38.5703125" style="10" customWidth="1"/>
    <col min="240" max="240" width="6.5703125" style="10" customWidth="1"/>
    <col min="241" max="241" width="7.7109375" style="10" bestFit="1" customWidth="1"/>
    <col min="242" max="242" width="7.28515625" style="10" customWidth="1"/>
    <col min="243" max="243" width="6.5703125" style="10" bestFit="1" customWidth="1"/>
    <col min="244" max="244" width="7.28515625" style="10" bestFit="1" customWidth="1"/>
    <col min="245" max="245" width="8.140625" style="10" customWidth="1"/>
    <col min="246" max="246" width="7.140625" style="10" customWidth="1"/>
    <col min="247" max="247" width="7.7109375" style="10" bestFit="1" customWidth="1"/>
    <col min="248" max="248" width="7.28515625" style="10" customWidth="1"/>
    <col min="249" max="249" width="7" style="10" customWidth="1"/>
    <col min="250" max="250" width="7.5703125" style="10" customWidth="1"/>
    <col min="251" max="251" width="7.140625" style="10" customWidth="1"/>
    <col min="252" max="252" width="7" style="10" customWidth="1"/>
    <col min="253" max="253" width="7.5703125" style="10" customWidth="1"/>
    <col min="254" max="254" width="7.140625" style="10" customWidth="1"/>
    <col min="255" max="271" width="8.7109375" style="10" customWidth="1"/>
    <col min="272" max="272" width="36.85546875" style="10" customWidth="1"/>
    <col min="273" max="279" width="14.28515625" style="10" customWidth="1"/>
    <col min="280" max="494" width="9.140625" style="10"/>
    <col min="495" max="495" width="38.5703125" style="10" customWidth="1"/>
    <col min="496" max="496" width="6.5703125" style="10" customWidth="1"/>
    <col min="497" max="497" width="7.7109375" style="10" bestFit="1" customWidth="1"/>
    <col min="498" max="498" width="7.28515625" style="10" customWidth="1"/>
    <col min="499" max="499" width="6.5703125" style="10" bestFit="1" customWidth="1"/>
    <col min="500" max="500" width="7.28515625" style="10" bestFit="1" customWidth="1"/>
    <col min="501" max="501" width="8.140625" style="10" customWidth="1"/>
    <col min="502" max="502" width="7.140625" style="10" customWidth="1"/>
    <col min="503" max="503" width="7.7109375" style="10" bestFit="1" customWidth="1"/>
    <col min="504" max="504" width="7.28515625" style="10" customWidth="1"/>
    <col min="505" max="505" width="7" style="10" customWidth="1"/>
    <col min="506" max="506" width="7.5703125" style="10" customWidth="1"/>
    <col min="507" max="507" width="7.140625" style="10" customWidth="1"/>
    <col min="508" max="508" width="7" style="10" customWidth="1"/>
    <col min="509" max="509" width="7.5703125" style="10" customWidth="1"/>
    <col min="510" max="510" width="7.140625" style="10" customWidth="1"/>
    <col min="511" max="527" width="8.7109375" style="10" customWidth="1"/>
    <col min="528" max="528" width="36.85546875" style="10" customWidth="1"/>
    <col min="529" max="535" width="14.28515625" style="10" customWidth="1"/>
    <col min="536" max="750" width="9.140625" style="10"/>
    <col min="751" max="751" width="38.5703125" style="10" customWidth="1"/>
    <col min="752" max="752" width="6.5703125" style="10" customWidth="1"/>
    <col min="753" max="753" width="7.7109375" style="10" bestFit="1" customWidth="1"/>
    <col min="754" max="754" width="7.28515625" style="10" customWidth="1"/>
    <col min="755" max="755" width="6.5703125" style="10" bestFit="1" customWidth="1"/>
    <col min="756" max="756" width="7.28515625" style="10" bestFit="1" customWidth="1"/>
    <col min="757" max="757" width="8.140625" style="10" customWidth="1"/>
    <col min="758" max="758" width="7.140625" style="10" customWidth="1"/>
    <col min="759" max="759" width="7.7109375" style="10" bestFit="1" customWidth="1"/>
    <col min="760" max="760" width="7.28515625" style="10" customWidth="1"/>
    <col min="761" max="761" width="7" style="10" customWidth="1"/>
    <col min="762" max="762" width="7.5703125" style="10" customWidth="1"/>
    <col min="763" max="763" width="7.140625" style="10" customWidth="1"/>
    <col min="764" max="764" width="7" style="10" customWidth="1"/>
    <col min="765" max="765" width="7.5703125" style="10" customWidth="1"/>
    <col min="766" max="766" width="7.140625" style="10" customWidth="1"/>
    <col min="767" max="783" width="8.7109375" style="10" customWidth="1"/>
    <col min="784" max="784" width="36.85546875" style="10" customWidth="1"/>
    <col min="785" max="791" width="14.28515625" style="10" customWidth="1"/>
    <col min="792" max="1006" width="9.140625" style="10"/>
    <col min="1007" max="1007" width="38.5703125" style="10" customWidth="1"/>
    <col min="1008" max="1008" width="6.5703125" style="10" customWidth="1"/>
    <col min="1009" max="1009" width="7.7109375" style="10" bestFit="1" customWidth="1"/>
    <col min="1010" max="1010" width="7.28515625" style="10" customWidth="1"/>
    <col min="1011" max="1011" width="6.5703125" style="10" bestFit="1" customWidth="1"/>
    <col min="1012" max="1012" width="7.28515625" style="10" bestFit="1" customWidth="1"/>
    <col min="1013" max="1013" width="8.140625" style="10" customWidth="1"/>
    <col min="1014" max="1014" width="7.140625" style="10" customWidth="1"/>
    <col min="1015" max="1015" width="7.7109375" style="10" bestFit="1" customWidth="1"/>
    <col min="1016" max="1016" width="7.28515625" style="10" customWidth="1"/>
    <col min="1017" max="1017" width="7" style="10" customWidth="1"/>
    <col min="1018" max="1018" width="7.5703125" style="10" customWidth="1"/>
    <col min="1019" max="1019" width="7.140625" style="10" customWidth="1"/>
    <col min="1020" max="1020" width="7" style="10" customWidth="1"/>
    <col min="1021" max="1021" width="7.5703125" style="10" customWidth="1"/>
    <col min="1022" max="1022" width="7.140625" style="10" customWidth="1"/>
    <col min="1023" max="1039" width="8.7109375" style="10" customWidth="1"/>
    <col min="1040" max="1040" width="36.85546875" style="10" customWidth="1"/>
    <col min="1041" max="1047" width="14.28515625" style="10" customWidth="1"/>
    <col min="1048" max="1262" width="9.140625" style="10"/>
    <col min="1263" max="1263" width="38.5703125" style="10" customWidth="1"/>
    <col min="1264" max="1264" width="6.5703125" style="10" customWidth="1"/>
    <col min="1265" max="1265" width="7.7109375" style="10" bestFit="1" customWidth="1"/>
    <col min="1266" max="1266" width="7.28515625" style="10" customWidth="1"/>
    <col min="1267" max="1267" width="6.5703125" style="10" bestFit="1" customWidth="1"/>
    <col min="1268" max="1268" width="7.28515625" style="10" bestFit="1" customWidth="1"/>
    <col min="1269" max="1269" width="8.140625" style="10" customWidth="1"/>
    <col min="1270" max="1270" width="7.140625" style="10" customWidth="1"/>
    <col min="1271" max="1271" width="7.7109375" style="10" bestFit="1" customWidth="1"/>
    <col min="1272" max="1272" width="7.28515625" style="10" customWidth="1"/>
    <col min="1273" max="1273" width="7" style="10" customWidth="1"/>
    <col min="1274" max="1274" width="7.5703125" style="10" customWidth="1"/>
    <col min="1275" max="1275" width="7.140625" style="10" customWidth="1"/>
    <col min="1276" max="1276" width="7" style="10" customWidth="1"/>
    <col min="1277" max="1277" width="7.5703125" style="10" customWidth="1"/>
    <col min="1278" max="1278" width="7.140625" style="10" customWidth="1"/>
    <col min="1279" max="1295" width="8.7109375" style="10" customWidth="1"/>
    <col min="1296" max="1296" width="36.85546875" style="10" customWidth="1"/>
    <col min="1297" max="1303" width="14.28515625" style="10" customWidth="1"/>
    <col min="1304" max="1518" width="9.140625" style="10"/>
    <col min="1519" max="1519" width="38.5703125" style="10" customWidth="1"/>
    <col min="1520" max="1520" width="6.5703125" style="10" customWidth="1"/>
    <col min="1521" max="1521" width="7.7109375" style="10" bestFit="1" customWidth="1"/>
    <col min="1522" max="1522" width="7.28515625" style="10" customWidth="1"/>
    <col min="1523" max="1523" width="6.5703125" style="10" bestFit="1" customWidth="1"/>
    <col min="1524" max="1524" width="7.28515625" style="10" bestFit="1" customWidth="1"/>
    <col min="1525" max="1525" width="8.140625" style="10" customWidth="1"/>
    <col min="1526" max="1526" width="7.140625" style="10" customWidth="1"/>
    <col min="1527" max="1527" width="7.7109375" style="10" bestFit="1" customWidth="1"/>
    <col min="1528" max="1528" width="7.28515625" style="10" customWidth="1"/>
    <col min="1529" max="1529" width="7" style="10" customWidth="1"/>
    <col min="1530" max="1530" width="7.5703125" style="10" customWidth="1"/>
    <col min="1531" max="1531" width="7.140625" style="10" customWidth="1"/>
    <col min="1532" max="1532" width="7" style="10" customWidth="1"/>
    <col min="1533" max="1533" width="7.5703125" style="10" customWidth="1"/>
    <col min="1534" max="1534" width="7.140625" style="10" customWidth="1"/>
    <col min="1535" max="1551" width="8.7109375" style="10" customWidth="1"/>
    <col min="1552" max="1552" width="36.85546875" style="10" customWidth="1"/>
    <col min="1553" max="1559" width="14.28515625" style="10" customWidth="1"/>
    <col min="1560" max="1774" width="9.140625" style="10"/>
    <col min="1775" max="1775" width="38.5703125" style="10" customWidth="1"/>
    <col min="1776" max="1776" width="6.5703125" style="10" customWidth="1"/>
    <col min="1777" max="1777" width="7.7109375" style="10" bestFit="1" customWidth="1"/>
    <col min="1778" max="1778" width="7.28515625" style="10" customWidth="1"/>
    <col min="1779" max="1779" width="6.5703125" style="10" bestFit="1" customWidth="1"/>
    <col min="1780" max="1780" width="7.28515625" style="10" bestFit="1" customWidth="1"/>
    <col min="1781" max="1781" width="8.140625" style="10" customWidth="1"/>
    <col min="1782" max="1782" width="7.140625" style="10" customWidth="1"/>
    <col min="1783" max="1783" width="7.7109375" style="10" bestFit="1" customWidth="1"/>
    <col min="1784" max="1784" width="7.28515625" style="10" customWidth="1"/>
    <col min="1785" max="1785" width="7" style="10" customWidth="1"/>
    <col min="1786" max="1786" width="7.5703125" style="10" customWidth="1"/>
    <col min="1787" max="1787" width="7.140625" style="10" customWidth="1"/>
    <col min="1788" max="1788" width="7" style="10" customWidth="1"/>
    <col min="1789" max="1789" width="7.5703125" style="10" customWidth="1"/>
    <col min="1790" max="1790" width="7.140625" style="10" customWidth="1"/>
    <col min="1791" max="1807" width="8.7109375" style="10" customWidth="1"/>
    <col min="1808" max="1808" width="36.85546875" style="10" customWidth="1"/>
    <col min="1809" max="1815" width="14.28515625" style="10" customWidth="1"/>
    <col min="1816" max="2030" width="9.140625" style="10"/>
    <col min="2031" max="2031" width="38.5703125" style="10" customWidth="1"/>
    <col min="2032" max="2032" width="6.5703125" style="10" customWidth="1"/>
    <col min="2033" max="2033" width="7.7109375" style="10" bestFit="1" customWidth="1"/>
    <col min="2034" max="2034" width="7.28515625" style="10" customWidth="1"/>
    <col min="2035" max="2035" width="6.5703125" style="10" bestFit="1" customWidth="1"/>
    <col min="2036" max="2036" width="7.28515625" style="10" bestFit="1" customWidth="1"/>
    <col min="2037" max="2037" width="8.140625" style="10" customWidth="1"/>
    <col min="2038" max="2038" width="7.140625" style="10" customWidth="1"/>
    <col min="2039" max="2039" width="7.7109375" style="10" bestFit="1" customWidth="1"/>
    <col min="2040" max="2040" width="7.28515625" style="10" customWidth="1"/>
    <col min="2041" max="2041" width="7" style="10" customWidth="1"/>
    <col min="2042" max="2042" width="7.5703125" style="10" customWidth="1"/>
    <col min="2043" max="2043" width="7.140625" style="10" customWidth="1"/>
    <col min="2044" max="2044" width="7" style="10" customWidth="1"/>
    <col min="2045" max="2045" width="7.5703125" style="10" customWidth="1"/>
    <col min="2046" max="2046" width="7.140625" style="10" customWidth="1"/>
    <col min="2047" max="2063" width="8.7109375" style="10" customWidth="1"/>
    <col min="2064" max="2064" width="36.85546875" style="10" customWidth="1"/>
    <col min="2065" max="2071" width="14.28515625" style="10" customWidth="1"/>
    <col min="2072" max="2286" width="9.140625" style="10"/>
    <col min="2287" max="2287" width="38.5703125" style="10" customWidth="1"/>
    <col min="2288" max="2288" width="6.5703125" style="10" customWidth="1"/>
    <col min="2289" max="2289" width="7.7109375" style="10" bestFit="1" customWidth="1"/>
    <col min="2290" max="2290" width="7.28515625" style="10" customWidth="1"/>
    <col min="2291" max="2291" width="6.5703125" style="10" bestFit="1" customWidth="1"/>
    <col min="2292" max="2292" width="7.28515625" style="10" bestFit="1" customWidth="1"/>
    <col min="2293" max="2293" width="8.140625" style="10" customWidth="1"/>
    <col min="2294" max="2294" width="7.140625" style="10" customWidth="1"/>
    <col min="2295" max="2295" width="7.7109375" style="10" bestFit="1" customWidth="1"/>
    <col min="2296" max="2296" width="7.28515625" style="10" customWidth="1"/>
    <col min="2297" max="2297" width="7" style="10" customWidth="1"/>
    <col min="2298" max="2298" width="7.5703125" style="10" customWidth="1"/>
    <col min="2299" max="2299" width="7.140625" style="10" customWidth="1"/>
    <col min="2300" max="2300" width="7" style="10" customWidth="1"/>
    <col min="2301" max="2301" width="7.5703125" style="10" customWidth="1"/>
    <col min="2302" max="2302" width="7.140625" style="10" customWidth="1"/>
    <col min="2303" max="2319" width="8.7109375" style="10" customWidth="1"/>
    <col min="2320" max="2320" width="36.85546875" style="10" customWidth="1"/>
    <col min="2321" max="2327" width="14.28515625" style="10" customWidth="1"/>
    <col min="2328" max="2542" width="9.140625" style="10"/>
    <col min="2543" max="2543" width="38.5703125" style="10" customWidth="1"/>
    <col min="2544" max="2544" width="6.5703125" style="10" customWidth="1"/>
    <col min="2545" max="2545" width="7.7109375" style="10" bestFit="1" customWidth="1"/>
    <col min="2546" max="2546" width="7.28515625" style="10" customWidth="1"/>
    <col min="2547" max="2547" width="6.5703125" style="10" bestFit="1" customWidth="1"/>
    <col min="2548" max="2548" width="7.28515625" style="10" bestFit="1" customWidth="1"/>
    <col min="2549" max="2549" width="8.140625" style="10" customWidth="1"/>
    <col min="2550" max="2550" width="7.140625" style="10" customWidth="1"/>
    <col min="2551" max="2551" width="7.7109375" style="10" bestFit="1" customWidth="1"/>
    <col min="2552" max="2552" width="7.28515625" style="10" customWidth="1"/>
    <col min="2553" max="2553" width="7" style="10" customWidth="1"/>
    <col min="2554" max="2554" width="7.5703125" style="10" customWidth="1"/>
    <col min="2555" max="2555" width="7.140625" style="10" customWidth="1"/>
    <col min="2556" max="2556" width="7" style="10" customWidth="1"/>
    <col min="2557" max="2557" width="7.5703125" style="10" customWidth="1"/>
    <col min="2558" max="2558" width="7.140625" style="10" customWidth="1"/>
    <col min="2559" max="2575" width="8.7109375" style="10" customWidth="1"/>
    <col min="2576" max="2576" width="36.85546875" style="10" customWidth="1"/>
    <col min="2577" max="2583" width="14.28515625" style="10" customWidth="1"/>
    <col min="2584" max="2798" width="9.140625" style="10"/>
    <col min="2799" max="2799" width="38.5703125" style="10" customWidth="1"/>
    <col min="2800" max="2800" width="6.5703125" style="10" customWidth="1"/>
    <col min="2801" max="2801" width="7.7109375" style="10" bestFit="1" customWidth="1"/>
    <col min="2802" max="2802" width="7.28515625" style="10" customWidth="1"/>
    <col min="2803" max="2803" width="6.5703125" style="10" bestFit="1" customWidth="1"/>
    <col min="2804" max="2804" width="7.28515625" style="10" bestFit="1" customWidth="1"/>
    <col min="2805" max="2805" width="8.140625" style="10" customWidth="1"/>
    <col min="2806" max="2806" width="7.140625" style="10" customWidth="1"/>
    <col min="2807" max="2807" width="7.7109375" style="10" bestFit="1" customWidth="1"/>
    <col min="2808" max="2808" width="7.28515625" style="10" customWidth="1"/>
    <col min="2809" max="2809" width="7" style="10" customWidth="1"/>
    <col min="2810" max="2810" width="7.5703125" style="10" customWidth="1"/>
    <col min="2811" max="2811" width="7.140625" style="10" customWidth="1"/>
    <col min="2812" max="2812" width="7" style="10" customWidth="1"/>
    <col min="2813" max="2813" width="7.5703125" style="10" customWidth="1"/>
    <col min="2814" max="2814" width="7.140625" style="10" customWidth="1"/>
    <col min="2815" max="2831" width="8.7109375" style="10" customWidth="1"/>
    <col min="2832" max="2832" width="36.85546875" style="10" customWidth="1"/>
    <col min="2833" max="2839" width="14.28515625" style="10" customWidth="1"/>
    <col min="2840" max="3054" width="9.140625" style="10"/>
    <col min="3055" max="3055" width="38.5703125" style="10" customWidth="1"/>
    <col min="3056" max="3056" width="6.5703125" style="10" customWidth="1"/>
    <col min="3057" max="3057" width="7.7109375" style="10" bestFit="1" customWidth="1"/>
    <col min="3058" max="3058" width="7.28515625" style="10" customWidth="1"/>
    <col min="3059" max="3059" width="6.5703125" style="10" bestFit="1" customWidth="1"/>
    <col min="3060" max="3060" width="7.28515625" style="10" bestFit="1" customWidth="1"/>
    <col min="3061" max="3061" width="8.140625" style="10" customWidth="1"/>
    <col min="3062" max="3062" width="7.140625" style="10" customWidth="1"/>
    <col min="3063" max="3063" width="7.7109375" style="10" bestFit="1" customWidth="1"/>
    <col min="3064" max="3064" width="7.28515625" style="10" customWidth="1"/>
    <col min="3065" max="3065" width="7" style="10" customWidth="1"/>
    <col min="3066" max="3066" width="7.5703125" style="10" customWidth="1"/>
    <col min="3067" max="3067" width="7.140625" style="10" customWidth="1"/>
    <col min="3068" max="3068" width="7" style="10" customWidth="1"/>
    <col min="3069" max="3069" width="7.5703125" style="10" customWidth="1"/>
    <col min="3070" max="3070" width="7.140625" style="10" customWidth="1"/>
    <col min="3071" max="3087" width="8.7109375" style="10" customWidth="1"/>
    <col min="3088" max="3088" width="36.85546875" style="10" customWidth="1"/>
    <col min="3089" max="3095" width="14.28515625" style="10" customWidth="1"/>
    <col min="3096" max="3310" width="9.140625" style="10"/>
    <col min="3311" max="3311" width="38.5703125" style="10" customWidth="1"/>
    <col min="3312" max="3312" width="6.5703125" style="10" customWidth="1"/>
    <col min="3313" max="3313" width="7.7109375" style="10" bestFit="1" customWidth="1"/>
    <col min="3314" max="3314" width="7.28515625" style="10" customWidth="1"/>
    <col min="3315" max="3315" width="6.5703125" style="10" bestFit="1" customWidth="1"/>
    <col min="3316" max="3316" width="7.28515625" style="10" bestFit="1" customWidth="1"/>
    <col min="3317" max="3317" width="8.140625" style="10" customWidth="1"/>
    <col min="3318" max="3318" width="7.140625" style="10" customWidth="1"/>
    <col min="3319" max="3319" width="7.7109375" style="10" bestFit="1" customWidth="1"/>
    <col min="3320" max="3320" width="7.28515625" style="10" customWidth="1"/>
    <col min="3321" max="3321" width="7" style="10" customWidth="1"/>
    <col min="3322" max="3322" width="7.5703125" style="10" customWidth="1"/>
    <col min="3323" max="3323" width="7.140625" style="10" customWidth="1"/>
    <col min="3324" max="3324" width="7" style="10" customWidth="1"/>
    <col min="3325" max="3325" width="7.5703125" style="10" customWidth="1"/>
    <col min="3326" max="3326" width="7.140625" style="10" customWidth="1"/>
    <col min="3327" max="3343" width="8.7109375" style="10" customWidth="1"/>
    <col min="3344" max="3344" width="36.85546875" style="10" customWidth="1"/>
    <col min="3345" max="3351" width="14.28515625" style="10" customWidth="1"/>
    <col min="3352" max="3566" width="9.140625" style="10"/>
    <col min="3567" max="3567" width="38.5703125" style="10" customWidth="1"/>
    <col min="3568" max="3568" width="6.5703125" style="10" customWidth="1"/>
    <col min="3569" max="3569" width="7.7109375" style="10" bestFit="1" customWidth="1"/>
    <col min="3570" max="3570" width="7.28515625" style="10" customWidth="1"/>
    <col min="3571" max="3571" width="6.5703125" style="10" bestFit="1" customWidth="1"/>
    <col min="3572" max="3572" width="7.28515625" style="10" bestFit="1" customWidth="1"/>
    <col min="3573" max="3573" width="8.140625" style="10" customWidth="1"/>
    <col min="3574" max="3574" width="7.140625" style="10" customWidth="1"/>
    <col min="3575" max="3575" width="7.7109375" style="10" bestFit="1" customWidth="1"/>
    <col min="3576" max="3576" width="7.28515625" style="10" customWidth="1"/>
    <col min="3577" max="3577" width="7" style="10" customWidth="1"/>
    <col min="3578" max="3578" width="7.5703125" style="10" customWidth="1"/>
    <col min="3579" max="3579" width="7.140625" style="10" customWidth="1"/>
    <col min="3580" max="3580" width="7" style="10" customWidth="1"/>
    <col min="3581" max="3581" width="7.5703125" style="10" customWidth="1"/>
    <col min="3582" max="3582" width="7.140625" style="10" customWidth="1"/>
    <col min="3583" max="3599" width="8.7109375" style="10" customWidth="1"/>
    <col min="3600" max="3600" width="36.85546875" style="10" customWidth="1"/>
    <col min="3601" max="3607" width="14.28515625" style="10" customWidth="1"/>
    <col min="3608" max="3822" width="9.140625" style="10"/>
    <col min="3823" max="3823" width="38.5703125" style="10" customWidth="1"/>
    <col min="3824" max="3824" width="6.5703125" style="10" customWidth="1"/>
    <col min="3825" max="3825" width="7.7109375" style="10" bestFit="1" customWidth="1"/>
    <col min="3826" max="3826" width="7.28515625" style="10" customWidth="1"/>
    <col min="3827" max="3827" width="6.5703125" style="10" bestFit="1" customWidth="1"/>
    <col min="3828" max="3828" width="7.28515625" style="10" bestFit="1" customWidth="1"/>
    <col min="3829" max="3829" width="8.140625" style="10" customWidth="1"/>
    <col min="3830" max="3830" width="7.140625" style="10" customWidth="1"/>
    <col min="3831" max="3831" width="7.7109375" style="10" bestFit="1" customWidth="1"/>
    <col min="3832" max="3832" width="7.28515625" style="10" customWidth="1"/>
    <col min="3833" max="3833" width="7" style="10" customWidth="1"/>
    <col min="3834" max="3834" width="7.5703125" style="10" customWidth="1"/>
    <col min="3835" max="3835" width="7.140625" style="10" customWidth="1"/>
    <col min="3836" max="3836" width="7" style="10" customWidth="1"/>
    <col min="3837" max="3837" width="7.5703125" style="10" customWidth="1"/>
    <col min="3838" max="3838" width="7.140625" style="10" customWidth="1"/>
    <col min="3839" max="3855" width="8.7109375" style="10" customWidth="1"/>
    <col min="3856" max="3856" width="36.85546875" style="10" customWidth="1"/>
    <col min="3857" max="3863" width="14.28515625" style="10" customWidth="1"/>
    <col min="3864" max="4078" width="9.140625" style="10"/>
    <col min="4079" max="4079" width="38.5703125" style="10" customWidth="1"/>
    <col min="4080" max="4080" width="6.5703125" style="10" customWidth="1"/>
    <col min="4081" max="4081" width="7.7109375" style="10" bestFit="1" customWidth="1"/>
    <col min="4082" max="4082" width="7.28515625" style="10" customWidth="1"/>
    <col min="4083" max="4083" width="6.5703125" style="10" bestFit="1" customWidth="1"/>
    <col min="4084" max="4084" width="7.28515625" style="10" bestFit="1" customWidth="1"/>
    <col min="4085" max="4085" width="8.140625" style="10" customWidth="1"/>
    <col min="4086" max="4086" width="7.140625" style="10" customWidth="1"/>
    <col min="4087" max="4087" width="7.7109375" style="10" bestFit="1" customWidth="1"/>
    <col min="4088" max="4088" width="7.28515625" style="10" customWidth="1"/>
    <col min="4089" max="4089" width="7" style="10" customWidth="1"/>
    <col min="4090" max="4090" width="7.5703125" style="10" customWidth="1"/>
    <col min="4091" max="4091" width="7.140625" style="10" customWidth="1"/>
    <col min="4092" max="4092" width="7" style="10" customWidth="1"/>
    <col min="4093" max="4093" width="7.5703125" style="10" customWidth="1"/>
    <col min="4094" max="4094" width="7.140625" style="10" customWidth="1"/>
    <col min="4095" max="4111" width="8.7109375" style="10" customWidth="1"/>
    <col min="4112" max="4112" width="36.85546875" style="10" customWidth="1"/>
    <col min="4113" max="4119" width="14.28515625" style="10" customWidth="1"/>
    <col min="4120" max="4334" width="9.140625" style="10"/>
    <col min="4335" max="4335" width="38.5703125" style="10" customWidth="1"/>
    <col min="4336" max="4336" width="6.5703125" style="10" customWidth="1"/>
    <col min="4337" max="4337" width="7.7109375" style="10" bestFit="1" customWidth="1"/>
    <col min="4338" max="4338" width="7.28515625" style="10" customWidth="1"/>
    <col min="4339" max="4339" width="6.5703125" style="10" bestFit="1" customWidth="1"/>
    <col min="4340" max="4340" width="7.28515625" style="10" bestFit="1" customWidth="1"/>
    <col min="4341" max="4341" width="8.140625" style="10" customWidth="1"/>
    <col min="4342" max="4342" width="7.140625" style="10" customWidth="1"/>
    <col min="4343" max="4343" width="7.7109375" style="10" bestFit="1" customWidth="1"/>
    <col min="4344" max="4344" width="7.28515625" style="10" customWidth="1"/>
    <col min="4345" max="4345" width="7" style="10" customWidth="1"/>
    <col min="4346" max="4346" width="7.5703125" style="10" customWidth="1"/>
    <col min="4347" max="4347" width="7.140625" style="10" customWidth="1"/>
    <col min="4348" max="4348" width="7" style="10" customWidth="1"/>
    <col min="4349" max="4349" width="7.5703125" style="10" customWidth="1"/>
    <col min="4350" max="4350" width="7.140625" style="10" customWidth="1"/>
    <col min="4351" max="4367" width="8.7109375" style="10" customWidth="1"/>
    <col min="4368" max="4368" width="36.85546875" style="10" customWidth="1"/>
    <col min="4369" max="4375" width="14.28515625" style="10" customWidth="1"/>
    <col min="4376" max="4590" width="9.140625" style="10"/>
    <col min="4591" max="4591" width="38.5703125" style="10" customWidth="1"/>
    <col min="4592" max="4592" width="6.5703125" style="10" customWidth="1"/>
    <col min="4593" max="4593" width="7.7109375" style="10" bestFit="1" customWidth="1"/>
    <col min="4594" max="4594" width="7.28515625" style="10" customWidth="1"/>
    <col min="4595" max="4595" width="6.5703125" style="10" bestFit="1" customWidth="1"/>
    <col min="4596" max="4596" width="7.28515625" style="10" bestFit="1" customWidth="1"/>
    <col min="4597" max="4597" width="8.140625" style="10" customWidth="1"/>
    <col min="4598" max="4598" width="7.140625" style="10" customWidth="1"/>
    <col min="4599" max="4599" width="7.7109375" style="10" bestFit="1" customWidth="1"/>
    <col min="4600" max="4600" width="7.28515625" style="10" customWidth="1"/>
    <col min="4601" max="4601" width="7" style="10" customWidth="1"/>
    <col min="4602" max="4602" width="7.5703125" style="10" customWidth="1"/>
    <col min="4603" max="4603" width="7.140625" style="10" customWidth="1"/>
    <col min="4604" max="4604" width="7" style="10" customWidth="1"/>
    <col min="4605" max="4605" width="7.5703125" style="10" customWidth="1"/>
    <col min="4606" max="4606" width="7.140625" style="10" customWidth="1"/>
    <col min="4607" max="4623" width="8.7109375" style="10" customWidth="1"/>
    <col min="4624" max="4624" width="36.85546875" style="10" customWidth="1"/>
    <col min="4625" max="4631" width="14.28515625" style="10" customWidth="1"/>
    <col min="4632" max="4846" width="9.140625" style="10"/>
    <col min="4847" max="4847" width="38.5703125" style="10" customWidth="1"/>
    <col min="4848" max="4848" width="6.5703125" style="10" customWidth="1"/>
    <col min="4849" max="4849" width="7.7109375" style="10" bestFit="1" customWidth="1"/>
    <col min="4850" max="4850" width="7.28515625" style="10" customWidth="1"/>
    <col min="4851" max="4851" width="6.5703125" style="10" bestFit="1" customWidth="1"/>
    <col min="4852" max="4852" width="7.28515625" style="10" bestFit="1" customWidth="1"/>
    <col min="4853" max="4853" width="8.140625" style="10" customWidth="1"/>
    <col min="4854" max="4854" width="7.140625" style="10" customWidth="1"/>
    <col min="4855" max="4855" width="7.7109375" style="10" bestFit="1" customWidth="1"/>
    <col min="4856" max="4856" width="7.28515625" style="10" customWidth="1"/>
    <col min="4857" max="4857" width="7" style="10" customWidth="1"/>
    <col min="4858" max="4858" width="7.5703125" style="10" customWidth="1"/>
    <col min="4859" max="4859" width="7.140625" style="10" customWidth="1"/>
    <col min="4860" max="4860" width="7" style="10" customWidth="1"/>
    <col min="4861" max="4861" width="7.5703125" style="10" customWidth="1"/>
    <col min="4862" max="4862" width="7.140625" style="10" customWidth="1"/>
    <col min="4863" max="4879" width="8.7109375" style="10" customWidth="1"/>
    <col min="4880" max="4880" width="36.85546875" style="10" customWidth="1"/>
    <col min="4881" max="4887" width="14.28515625" style="10" customWidth="1"/>
    <col min="4888" max="5102" width="9.140625" style="10"/>
    <col min="5103" max="5103" width="38.5703125" style="10" customWidth="1"/>
    <col min="5104" max="5104" width="6.5703125" style="10" customWidth="1"/>
    <col min="5105" max="5105" width="7.7109375" style="10" bestFit="1" customWidth="1"/>
    <col min="5106" max="5106" width="7.28515625" style="10" customWidth="1"/>
    <col min="5107" max="5107" width="6.5703125" style="10" bestFit="1" customWidth="1"/>
    <col min="5108" max="5108" width="7.28515625" style="10" bestFit="1" customWidth="1"/>
    <col min="5109" max="5109" width="8.140625" style="10" customWidth="1"/>
    <col min="5110" max="5110" width="7.140625" style="10" customWidth="1"/>
    <col min="5111" max="5111" width="7.7109375" style="10" bestFit="1" customWidth="1"/>
    <col min="5112" max="5112" width="7.28515625" style="10" customWidth="1"/>
    <col min="5113" max="5113" width="7" style="10" customWidth="1"/>
    <col min="5114" max="5114" width="7.5703125" style="10" customWidth="1"/>
    <col min="5115" max="5115" width="7.140625" style="10" customWidth="1"/>
    <col min="5116" max="5116" width="7" style="10" customWidth="1"/>
    <col min="5117" max="5117" width="7.5703125" style="10" customWidth="1"/>
    <col min="5118" max="5118" width="7.140625" style="10" customWidth="1"/>
    <col min="5119" max="5135" width="8.7109375" style="10" customWidth="1"/>
    <col min="5136" max="5136" width="36.85546875" style="10" customWidth="1"/>
    <col min="5137" max="5143" width="14.28515625" style="10" customWidth="1"/>
    <col min="5144" max="5358" width="9.140625" style="10"/>
    <col min="5359" max="5359" width="38.5703125" style="10" customWidth="1"/>
    <col min="5360" max="5360" width="6.5703125" style="10" customWidth="1"/>
    <col min="5361" max="5361" width="7.7109375" style="10" bestFit="1" customWidth="1"/>
    <col min="5362" max="5362" width="7.28515625" style="10" customWidth="1"/>
    <col min="5363" max="5363" width="6.5703125" style="10" bestFit="1" customWidth="1"/>
    <col min="5364" max="5364" width="7.28515625" style="10" bestFit="1" customWidth="1"/>
    <col min="5365" max="5365" width="8.140625" style="10" customWidth="1"/>
    <col min="5366" max="5366" width="7.140625" style="10" customWidth="1"/>
    <col min="5367" max="5367" width="7.7109375" style="10" bestFit="1" customWidth="1"/>
    <col min="5368" max="5368" width="7.28515625" style="10" customWidth="1"/>
    <col min="5369" max="5369" width="7" style="10" customWidth="1"/>
    <col min="5370" max="5370" width="7.5703125" style="10" customWidth="1"/>
    <col min="5371" max="5371" width="7.140625" style="10" customWidth="1"/>
    <col min="5372" max="5372" width="7" style="10" customWidth="1"/>
    <col min="5373" max="5373" width="7.5703125" style="10" customWidth="1"/>
    <col min="5374" max="5374" width="7.140625" style="10" customWidth="1"/>
    <col min="5375" max="5391" width="8.7109375" style="10" customWidth="1"/>
    <col min="5392" max="5392" width="36.85546875" style="10" customWidth="1"/>
    <col min="5393" max="5399" width="14.28515625" style="10" customWidth="1"/>
    <col min="5400" max="5614" width="9.140625" style="10"/>
    <col min="5615" max="5615" width="38.5703125" style="10" customWidth="1"/>
    <col min="5616" max="5616" width="6.5703125" style="10" customWidth="1"/>
    <col min="5617" max="5617" width="7.7109375" style="10" bestFit="1" customWidth="1"/>
    <col min="5618" max="5618" width="7.28515625" style="10" customWidth="1"/>
    <col min="5619" max="5619" width="6.5703125" style="10" bestFit="1" customWidth="1"/>
    <col min="5620" max="5620" width="7.28515625" style="10" bestFit="1" customWidth="1"/>
    <col min="5621" max="5621" width="8.140625" style="10" customWidth="1"/>
    <col min="5622" max="5622" width="7.140625" style="10" customWidth="1"/>
    <col min="5623" max="5623" width="7.7109375" style="10" bestFit="1" customWidth="1"/>
    <col min="5624" max="5624" width="7.28515625" style="10" customWidth="1"/>
    <col min="5625" max="5625" width="7" style="10" customWidth="1"/>
    <col min="5626" max="5626" width="7.5703125" style="10" customWidth="1"/>
    <col min="5627" max="5627" width="7.140625" style="10" customWidth="1"/>
    <col min="5628" max="5628" width="7" style="10" customWidth="1"/>
    <col min="5629" max="5629" width="7.5703125" style="10" customWidth="1"/>
    <col min="5630" max="5630" width="7.140625" style="10" customWidth="1"/>
    <col min="5631" max="5647" width="8.7109375" style="10" customWidth="1"/>
    <col min="5648" max="5648" width="36.85546875" style="10" customWidth="1"/>
    <col min="5649" max="5655" width="14.28515625" style="10" customWidth="1"/>
    <col min="5656" max="5870" width="9.140625" style="10"/>
    <col min="5871" max="5871" width="38.5703125" style="10" customWidth="1"/>
    <col min="5872" max="5872" width="6.5703125" style="10" customWidth="1"/>
    <col min="5873" max="5873" width="7.7109375" style="10" bestFit="1" customWidth="1"/>
    <col min="5874" max="5874" width="7.28515625" style="10" customWidth="1"/>
    <col min="5875" max="5875" width="6.5703125" style="10" bestFit="1" customWidth="1"/>
    <col min="5876" max="5876" width="7.28515625" style="10" bestFit="1" customWidth="1"/>
    <col min="5877" max="5877" width="8.140625" style="10" customWidth="1"/>
    <col min="5878" max="5878" width="7.140625" style="10" customWidth="1"/>
    <col min="5879" max="5879" width="7.7109375" style="10" bestFit="1" customWidth="1"/>
    <col min="5880" max="5880" width="7.28515625" style="10" customWidth="1"/>
    <col min="5881" max="5881" width="7" style="10" customWidth="1"/>
    <col min="5882" max="5882" width="7.5703125" style="10" customWidth="1"/>
    <col min="5883" max="5883" width="7.140625" style="10" customWidth="1"/>
    <col min="5884" max="5884" width="7" style="10" customWidth="1"/>
    <col min="5885" max="5885" width="7.5703125" style="10" customWidth="1"/>
    <col min="5886" max="5886" width="7.140625" style="10" customWidth="1"/>
    <col min="5887" max="5903" width="8.7109375" style="10" customWidth="1"/>
    <col min="5904" max="5904" width="36.85546875" style="10" customWidth="1"/>
    <col min="5905" max="5911" width="14.28515625" style="10" customWidth="1"/>
    <col min="5912" max="6126" width="9.140625" style="10"/>
    <col min="6127" max="6127" width="38.5703125" style="10" customWidth="1"/>
    <col min="6128" max="6128" width="6.5703125" style="10" customWidth="1"/>
    <col min="6129" max="6129" width="7.7109375" style="10" bestFit="1" customWidth="1"/>
    <col min="6130" max="6130" width="7.28515625" style="10" customWidth="1"/>
    <col min="6131" max="6131" width="6.5703125" style="10" bestFit="1" customWidth="1"/>
    <col min="6132" max="6132" width="7.28515625" style="10" bestFit="1" customWidth="1"/>
    <col min="6133" max="6133" width="8.140625" style="10" customWidth="1"/>
    <col min="6134" max="6134" width="7.140625" style="10" customWidth="1"/>
    <col min="6135" max="6135" width="7.7109375" style="10" bestFit="1" customWidth="1"/>
    <col min="6136" max="6136" width="7.28515625" style="10" customWidth="1"/>
    <col min="6137" max="6137" width="7" style="10" customWidth="1"/>
    <col min="6138" max="6138" width="7.5703125" style="10" customWidth="1"/>
    <col min="6139" max="6139" width="7.140625" style="10" customWidth="1"/>
    <col min="6140" max="6140" width="7" style="10" customWidth="1"/>
    <col min="6141" max="6141" width="7.5703125" style="10" customWidth="1"/>
    <col min="6142" max="6142" width="7.140625" style="10" customWidth="1"/>
    <col min="6143" max="6159" width="8.7109375" style="10" customWidth="1"/>
    <col min="6160" max="6160" width="36.85546875" style="10" customWidth="1"/>
    <col min="6161" max="6167" width="14.28515625" style="10" customWidth="1"/>
    <col min="6168" max="6382" width="9.140625" style="10"/>
    <col min="6383" max="6383" width="38.5703125" style="10" customWidth="1"/>
    <col min="6384" max="6384" width="6.5703125" style="10" customWidth="1"/>
    <col min="6385" max="6385" width="7.7109375" style="10" bestFit="1" customWidth="1"/>
    <col min="6386" max="6386" width="7.28515625" style="10" customWidth="1"/>
    <col min="6387" max="6387" width="6.5703125" style="10" bestFit="1" customWidth="1"/>
    <col min="6388" max="6388" width="7.28515625" style="10" bestFit="1" customWidth="1"/>
    <col min="6389" max="6389" width="8.140625" style="10" customWidth="1"/>
    <col min="6390" max="6390" width="7.140625" style="10" customWidth="1"/>
    <col min="6391" max="6391" width="7.7109375" style="10" bestFit="1" customWidth="1"/>
    <col min="6392" max="6392" width="7.28515625" style="10" customWidth="1"/>
    <col min="6393" max="6393" width="7" style="10" customWidth="1"/>
    <col min="6394" max="6394" width="7.5703125" style="10" customWidth="1"/>
    <col min="6395" max="6395" width="7.140625" style="10" customWidth="1"/>
    <col min="6396" max="6396" width="7" style="10" customWidth="1"/>
    <col min="6397" max="6397" width="7.5703125" style="10" customWidth="1"/>
    <col min="6398" max="6398" width="7.140625" style="10" customWidth="1"/>
    <col min="6399" max="6415" width="8.7109375" style="10" customWidth="1"/>
    <col min="6416" max="6416" width="36.85546875" style="10" customWidth="1"/>
    <col min="6417" max="6423" width="14.28515625" style="10" customWidth="1"/>
    <col min="6424" max="6638" width="9.140625" style="10"/>
    <col min="6639" max="6639" width="38.5703125" style="10" customWidth="1"/>
    <col min="6640" max="6640" width="6.5703125" style="10" customWidth="1"/>
    <col min="6641" max="6641" width="7.7109375" style="10" bestFit="1" customWidth="1"/>
    <col min="6642" max="6642" width="7.28515625" style="10" customWidth="1"/>
    <col min="6643" max="6643" width="6.5703125" style="10" bestFit="1" customWidth="1"/>
    <col min="6644" max="6644" width="7.28515625" style="10" bestFit="1" customWidth="1"/>
    <col min="6645" max="6645" width="8.140625" style="10" customWidth="1"/>
    <col min="6646" max="6646" width="7.140625" style="10" customWidth="1"/>
    <col min="6647" max="6647" width="7.7109375" style="10" bestFit="1" customWidth="1"/>
    <col min="6648" max="6648" width="7.28515625" style="10" customWidth="1"/>
    <col min="6649" max="6649" width="7" style="10" customWidth="1"/>
    <col min="6650" max="6650" width="7.5703125" style="10" customWidth="1"/>
    <col min="6651" max="6651" width="7.140625" style="10" customWidth="1"/>
    <col min="6652" max="6652" width="7" style="10" customWidth="1"/>
    <col min="6653" max="6653" width="7.5703125" style="10" customWidth="1"/>
    <col min="6654" max="6654" width="7.140625" style="10" customWidth="1"/>
    <col min="6655" max="6671" width="8.7109375" style="10" customWidth="1"/>
    <col min="6672" max="6672" width="36.85546875" style="10" customWidth="1"/>
    <col min="6673" max="6679" width="14.28515625" style="10" customWidth="1"/>
    <col min="6680" max="6894" width="9.140625" style="10"/>
    <col min="6895" max="6895" width="38.5703125" style="10" customWidth="1"/>
    <col min="6896" max="6896" width="6.5703125" style="10" customWidth="1"/>
    <col min="6897" max="6897" width="7.7109375" style="10" bestFit="1" customWidth="1"/>
    <col min="6898" max="6898" width="7.28515625" style="10" customWidth="1"/>
    <col min="6899" max="6899" width="6.5703125" style="10" bestFit="1" customWidth="1"/>
    <col min="6900" max="6900" width="7.28515625" style="10" bestFit="1" customWidth="1"/>
    <col min="6901" max="6901" width="8.140625" style="10" customWidth="1"/>
    <col min="6902" max="6902" width="7.140625" style="10" customWidth="1"/>
    <col min="6903" max="6903" width="7.7109375" style="10" bestFit="1" customWidth="1"/>
    <col min="6904" max="6904" width="7.28515625" style="10" customWidth="1"/>
    <col min="6905" max="6905" width="7" style="10" customWidth="1"/>
    <col min="6906" max="6906" width="7.5703125" style="10" customWidth="1"/>
    <col min="6907" max="6907" width="7.140625" style="10" customWidth="1"/>
    <col min="6908" max="6908" width="7" style="10" customWidth="1"/>
    <col min="6909" max="6909" width="7.5703125" style="10" customWidth="1"/>
    <col min="6910" max="6910" width="7.140625" style="10" customWidth="1"/>
    <col min="6911" max="6927" width="8.7109375" style="10" customWidth="1"/>
    <col min="6928" max="6928" width="36.85546875" style="10" customWidth="1"/>
    <col min="6929" max="6935" width="14.28515625" style="10" customWidth="1"/>
    <col min="6936" max="7150" width="9.140625" style="10"/>
    <col min="7151" max="7151" width="38.5703125" style="10" customWidth="1"/>
    <col min="7152" max="7152" width="6.5703125" style="10" customWidth="1"/>
    <col min="7153" max="7153" width="7.7109375" style="10" bestFit="1" customWidth="1"/>
    <col min="7154" max="7154" width="7.28515625" style="10" customWidth="1"/>
    <col min="7155" max="7155" width="6.5703125" style="10" bestFit="1" customWidth="1"/>
    <col min="7156" max="7156" width="7.28515625" style="10" bestFit="1" customWidth="1"/>
    <col min="7157" max="7157" width="8.140625" style="10" customWidth="1"/>
    <col min="7158" max="7158" width="7.140625" style="10" customWidth="1"/>
    <col min="7159" max="7159" width="7.7109375" style="10" bestFit="1" customWidth="1"/>
    <col min="7160" max="7160" width="7.28515625" style="10" customWidth="1"/>
    <col min="7161" max="7161" width="7" style="10" customWidth="1"/>
    <col min="7162" max="7162" width="7.5703125" style="10" customWidth="1"/>
    <col min="7163" max="7163" width="7.140625" style="10" customWidth="1"/>
    <col min="7164" max="7164" width="7" style="10" customWidth="1"/>
    <col min="7165" max="7165" width="7.5703125" style="10" customWidth="1"/>
    <col min="7166" max="7166" width="7.140625" style="10" customWidth="1"/>
    <col min="7167" max="7183" width="8.7109375" style="10" customWidth="1"/>
    <col min="7184" max="7184" width="36.85546875" style="10" customWidth="1"/>
    <col min="7185" max="7191" width="14.28515625" style="10" customWidth="1"/>
    <col min="7192" max="7406" width="9.140625" style="10"/>
    <col min="7407" max="7407" width="38.5703125" style="10" customWidth="1"/>
    <col min="7408" max="7408" width="6.5703125" style="10" customWidth="1"/>
    <col min="7409" max="7409" width="7.7109375" style="10" bestFit="1" customWidth="1"/>
    <col min="7410" max="7410" width="7.28515625" style="10" customWidth="1"/>
    <col min="7411" max="7411" width="6.5703125" style="10" bestFit="1" customWidth="1"/>
    <col min="7412" max="7412" width="7.28515625" style="10" bestFit="1" customWidth="1"/>
    <col min="7413" max="7413" width="8.140625" style="10" customWidth="1"/>
    <col min="7414" max="7414" width="7.140625" style="10" customWidth="1"/>
    <col min="7415" max="7415" width="7.7109375" style="10" bestFit="1" customWidth="1"/>
    <col min="7416" max="7416" width="7.28515625" style="10" customWidth="1"/>
    <col min="7417" max="7417" width="7" style="10" customWidth="1"/>
    <col min="7418" max="7418" width="7.5703125" style="10" customWidth="1"/>
    <col min="7419" max="7419" width="7.140625" style="10" customWidth="1"/>
    <col min="7420" max="7420" width="7" style="10" customWidth="1"/>
    <col min="7421" max="7421" width="7.5703125" style="10" customWidth="1"/>
    <col min="7422" max="7422" width="7.140625" style="10" customWidth="1"/>
    <col min="7423" max="7439" width="8.7109375" style="10" customWidth="1"/>
    <col min="7440" max="7440" width="36.85546875" style="10" customWidth="1"/>
    <col min="7441" max="7447" width="14.28515625" style="10" customWidth="1"/>
    <col min="7448" max="7662" width="9.140625" style="10"/>
    <col min="7663" max="7663" width="38.5703125" style="10" customWidth="1"/>
    <col min="7664" max="7664" width="6.5703125" style="10" customWidth="1"/>
    <col min="7665" max="7665" width="7.7109375" style="10" bestFit="1" customWidth="1"/>
    <col min="7666" max="7666" width="7.28515625" style="10" customWidth="1"/>
    <col min="7667" max="7667" width="6.5703125" style="10" bestFit="1" customWidth="1"/>
    <col min="7668" max="7668" width="7.28515625" style="10" bestFit="1" customWidth="1"/>
    <col min="7669" max="7669" width="8.140625" style="10" customWidth="1"/>
    <col min="7670" max="7670" width="7.140625" style="10" customWidth="1"/>
    <col min="7671" max="7671" width="7.7109375" style="10" bestFit="1" customWidth="1"/>
    <col min="7672" max="7672" width="7.28515625" style="10" customWidth="1"/>
    <col min="7673" max="7673" width="7" style="10" customWidth="1"/>
    <col min="7674" max="7674" width="7.5703125" style="10" customWidth="1"/>
    <col min="7675" max="7675" width="7.140625" style="10" customWidth="1"/>
    <col min="7676" max="7676" width="7" style="10" customWidth="1"/>
    <col min="7677" max="7677" width="7.5703125" style="10" customWidth="1"/>
    <col min="7678" max="7678" width="7.140625" style="10" customWidth="1"/>
    <col min="7679" max="7695" width="8.7109375" style="10" customWidth="1"/>
    <col min="7696" max="7696" width="36.85546875" style="10" customWidth="1"/>
    <col min="7697" max="7703" width="14.28515625" style="10" customWidth="1"/>
    <col min="7704" max="7918" width="9.140625" style="10"/>
    <col min="7919" max="7919" width="38.5703125" style="10" customWidth="1"/>
    <col min="7920" max="7920" width="6.5703125" style="10" customWidth="1"/>
    <col min="7921" max="7921" width="7.7109375" style="10" bestFit="1" customWidth="1"/>
    <col min="7922" max="7922" width="7.28515625" style="10" customWidth="1"/>
    <col min="7923" max="7923" width="6.5703125" style="10" bestFit="1" customWidth="1"/>
    <col min="7924" max="7924" width="7.28515625" style="10" bestFit="1" customWidth="1"/>
    <col min="7925" max="7925" width="8.140625" style="10" customWidth="1"/>
    <col min="7926" max="7926" width="7.140625" style="10" customWidth="1"/>
    <col min="7927" max="7927" width="7.7109375" style="10" bestFit="1" customWidth="1"/>
    <col min="7928" max="7928" width="7.28515625" style="10" customWidth="1"/>
    <col min="7929" max="7929" width="7" style="10" customWidth="1"/>
    <col min="7930" max="7930" width="7.5703125" style="10" customWidth="1"/>
    <col min="7931" max="7931" width="7.140625" style="10" customWidth="1"/>
    <col min="7932" max="7932" width="7" style="10" customWidth="1"/>
    <col min="7933" max="7933" width="7.5703125" style="10" customWidth="1"/>
    <col min="7934" max="7934" width="7.140625" style="10" customWidth="1"/>
    <col min="7935" max="7951" width="8.7109375" style="10" customWidth="1"/>
    <col min="7952" max="7952" width="36.85546875" style="10" customWidth="1"/>
    <col min="7953" max="7959" width="14.28515625" style="10" customWidth="1"/>
    <col min="7960" max="8174" width="9.140625" style="10"/>
    <col min="8175" max="8175" width="38.5703125" style="10" customWidth="1"/>
    <col min="8176" max="8176" width="6.5703125" style="10" customWidth="1"/>
    <col min="8177" max="8177" width="7.7109375" style="10" bestFit="1" customWidth="1"/>
    <col min="8178" max="8178" width="7.28515625" style="10" customWidth="1"/>
    <col min="8179" max="8179" width="6.5703125" style="10" bestFit="1" customWidth="1"/>
    <col min="8180" max="8180" width="7.28515625" style="10" bestFit="1" customWidth="1"/>
    <col min="8181" max="8181" width="8.140625" style="10" customWidth="1"/>
    <col min="8182" max="8182" width="7.140625" style="10" customWidth="1"/>
    <col min="8183" max="8183" width="7.7109375" style="10" bestFit="1" customWidth="1"/>
    <col min="8184" max="8184" width="7.28515625" style="10" customWidth="1"/>
    <col min="8185" max="8185" width="7" style="10" customWidth="1"/>
    <col min="8186" max="8186" width="7.5703125" style="10" customWidth="1"/>
    <col min="8187" max="8187" width="7.140625" style="10" customWidth="1"/>
    <col min="8188" max="8188" width="7" style="10" customWidth="1"/>
    <col min="8189" max="8189" width="7.5703125" style="10" customWidth="1"/>
    <col min="8190" max="8190" width="7.140625" style="10" customWidth="1"/>
    <col min="8191" max="8207" width="8.7109375" style="10" customWidth="1"/>
    <col min="8208" max="8208" width="36.85546875" style="10" customWidth="1"/>
    <col min="8209" max="8215" width="14.28515625" style="10" customWidth="1"/>
    <col min="8216" max="8430" width="9.140625" style="10"/>
    <col min="8431" max="8431" width="38.5703125" style="10" customWidth="1"/>
    <col min="8432" max="8432" width="6.5703125" style="10" customWidth="1"/>
    <col min="8433" max="8433" width="7.7109375" style="10" bestFit="1" customWidth="1"/>
    <col min="8434" max="8434" width="7.28515625" style="10" customWidth="1"/>
    <col min="8435" max="8435" width="6.5703125" style="10" bestFit="1" customWidth="1"/>
    <col min="8436" max="8436" width="7.28515625" style="10" bestFit="1" customWidth="1"/>
    <col min="8437" max="8437" width="8.140625" style="10" customWidth="1"/>
    <col min="8438" max="8438" width="7.140625" style="10" customWidth="1"/>
    <col min="8439" max="8439" width="7.7109375" style="10" bestFit="1" customWidth="1"/>
    <col min="8440" max="8440" width="7.28515625" style="10" customWidth="1"/>
    <col min="8441" max="8441" width="7" style="10" customWidth="1"/>
    <col min="8442" max="8442" width="7.5703125" style="10" customWidth="1"/>
    <col min="8443" max="8443" width="7.140625" style="10" customWidth="1"/>
    <col min="8444" max="8444" width="7" style="10" customWidth="1"/>
    <col min="8445" max="8445" width="7.5703125" style="10" customWidth="1"/>
    <col min="8446" max="8446" width="7.140625" style="10" customWidth="1"/>
    <col min="8447" max="8463" width="8.7109375" style="10" customWidth="1"/>
    <col min="8464" max="8464" width="36.85546875" style="10" customWidth="1"/>
    <col min="8465" max="8471" width="14.28515625" style="10" customWidth="1"/>
    <col min="8472" max="8686" width="9.140625" style="10"/>
    <col min="8687" max="8687" width="38.5703125" style="10" customWidth="1"/>
    <col min="8688" max="8688" width="6.5703125" style="10" customWidth="1"/>
    <col min="8689" max="8689" width="7.7109375" style="10" bestFit="1" customWidth="1"/>
    <col min="8690" max="8690" width="7.28515625" style="10" customWidth="1"/>
    <col min="8691" max="8691" width="6.5703125" style="10" bestFit="1" customWidth="1"/>
    <col min="8692" max="8692" width="7.28515625" style="10" bestFit="1" customWidth="1"/>
    <col min="8693" max="8693" width="8.140625" style="10" customWidth="1"/>
    <col min="8694" max="8694" width="7.140625" style="10" customWidth="1"/>
    <col min="8695" max="8695" width="7.7109375" style="10" bestFit="1" customWidth="1"/>
    <col min="8696" max="8696" width="7.28515625" style="10" customWidth="1"/>
    <col min="8697" max="8697" width="7" style="10" customWidth="1"/>
    <col min="8698" max="8698" width="7.5703125" style="10" customWidth="1"/>
    <col min="8699" max="8699" width="7.140625" style="10" customWidth="1"/>
    <col min="8700" max="8700" width="7" style="10" customWidth="1"/>
    <col min="8701" max="8701" width="7.5703125" style="10" customWidth="1"/>
    <col min="8702" max="8702" width="7.140625" style="10" customWidth="1"/>
    <col min="8703" max="8719" width="8.7109375" style="10" customWidth="1"/>
    <col min="8720" max="8720" width="36.85546875" style="10" customWidth="1"/>
    <col min="8721" max="8727" width="14.28515625" style="10" customWidth="1"/>
    <col min="8728" max="8942" width="9.140625" style="10"/>
    <col min="8943" max="8943" width="38.5703125" style="10" customWidth="1"/>
    <col min="8944" max="8944" width="6.5703125" style="10" customWidth="1"/>
    <col min="8945" max="8945" width="7.7109375" style="10" bestFit="1" customWidth="1"/>
    <col min="8946" max="8946" width="7.28515625" style="10" customWidth="1"/>
    <col min="8947" max="8947" width="6.5703125" style="10" bestFit="1" customWidth="1"/>
    <col min="8948" max="8948" width="7.28515625" style="10" bestFit="1" customWidth="1"/>
    <col min="8949" max="8949" width="8.140625" style="10" customWidth="1"/>
    <col min="8950" max="8950" width="7.140625" style="10" customWidth="1"/>
    <col min="8951" max="8951" width="7.7109375" style="10" bestFit="1" customWidth="1"/>
    <col min="8952" max="8952" width="7.28515625" style="10" customWidth="1"/>
    <col min="8953" max="8953" width="7" style="10" customWidth="1"/>
    <col min="8954" max="8954" width="7.5703125" style="10" customWidth="1"/>
    <col min="8955" max="8955" width="7.140625" style="10" customWidth="1"/>
    <col min="8956" max="8956" width="7" style="10" customWidth="1"/>
    <col min="8957" max="8957" width="7.5703125" style="10" customWidth="1"/>
    <col min="8958" max="8958" width="7.140625" style="10" customWidth="1"/>
    <col min="8959" max="8975" width="8.7109375" style="10" customWidth="1"/>
    <col min="8976" max="8976" width="36.85546875" style="10" customWidth="1"/>
    <col min="8977" max="8983" width="14.28515625" style="10" customWidth="1"/>
    <col min="8984" max="9198" width="9.140625" style="10"/>
    <col min="9199" max="9199" width="38.5703125" style="10" customWidth="1"/>
    <col min="9200" max="9200" width="6.5703125" style="10" customWidth="1"/>
    <col min="9201" max="9201" width="7.7109375" style="10" bestFit="1" customWidth="1"/>
    <col min="9202" max="9202" width="7.28515625" style="10" customWidth="1"/>
    <col min="9203" max="9203" width="6.5703125" style="10" bestFit="1" customWidth="1"/>
    <col min="9204" max="9204" width="7.28515625" style="10" bestFit="1" customWidth="1"/>
    <col min="9205" max="9205" width="8.140625" style="10" customWidth="1"/>
    <col min="9206" max="9206" width="7.140625" style="10" customWidth="1"/>
    <col min="9207" max="9207" width="7.7109375" style="10" bestFit="1" customWidth="1"/>
    <col min="9208" max="9208" width="7.28515625" style="10" customWidth="1"/>
    <col min="9209" max="9209" width="7" style="10" customWidth="1"/>
    <col min="9210" max="9210" width="7.5703125" style="10" customWidth="1"/>
    <col min="9211" max="9211" width="7.140625" style="10" customWidth="1"/>
    <col min="9212" max="9212" width="7" style="10" customWidth="1"/>
    <col min="9213" max="9213" width="7.5703125" style="10" customWidth="1"/>
    <col min="9214" max="9214" width="7.140625" style="10" customWidth="1"/>
    <col min="9215" max="9231" width="8.7109375" style="10" customWidth="1"/>
    <col min="9232" max="9232" width="36.85546875" style="10" customWidth="1"/>
    <col min="9233" max="9239" width="14.28515625" style="10" customWidth="1"/>
    <col min="9240" max="9454" width="9.140625" style="10"/>
    <col min="9455" max="9455" width="38.5703125" style="10" customWidth="1"/>
    <col min="9456" max="9456" width="6.5703125" style="10" customWidth="1"/>
    <col min="9457" max="9457" width="7.7109375" style="10" bestFit="1" customWidth="1"/>
    <col min="9458" max="9458" width="7.28515625" style="10" customWidth="1"/>
    <col min="9459" max="9459" width="6.5703125" style="10" bestFit="1" customWidth="1"/>
    <col min="9460" max="9460" width="7.28515625" style="10" bestFit="1" customWidth="1"/>
    <col min="9461" max="9461" width="8.140625" style="10" customWidth="1"/>
    <col min="9462" max="9462" width="7.140625" style="10" customWidth="1"/>
    <col min="9463" max="9463" width="7.7109375" style="10" bestFit="1" customWidth="1"/>
    <col min="9464" max="9464" width="7.28515625" style="10" customWidth="1"/>
    <col min="9465" max="9465" width="7" style="10" customWidth="1"/>
    <col min="9466" max="9466" width="7.5703125" style="10" customWidth="1"/>
    <col min="9467" max="9467" width="7.140625" style="10" customWidth="1"/>
    <col min="9468" max="9468" width="7" style="10" customWidth="1"/>
    <col min="9469" max="9469" width="7.5703125" style="10" customWidth="1"/>
    <col min="9470" max="9470" width="7.140625" style="10" customWidth="1"/>
    <col min="9471" max="9487" width="8.7109375" style="10" customWidth="1"/>
    <col min="9488" max="9488" width="36.85546875" style="10" customWidth="1"/>
    <col min="9489" max="9495" width="14.28515625" style="10" customWidth="1"/>
    <col min="9496" max="9710" width="9.140625" style="10"/>
    <col min="9711" max="9711" width="38.5703125" style="10" customWidth="1"/>
    <col min="9712" max="9712" width="6.5703125" style="10" customWidth="1"/>
    <col min="9713" max="9713" width="7.7109375" style="10" bestFit="1" customWidth="1"/>
    <col min="9714" max="9714" width="7.28515625" style="10" customWidth="1"/>
    <col min="9715" max="9715" width="6.5703125" style="10" bestFit="1" customWidth="1"/>
    <col min="9716" max="9716" width="7.28515625" style="10" bestFit="1" customWidth="1"/>
    <col min="9717" max="9717" width="8.140625" style="10" customWidth="1"/>
    <col min="9718" max="9718" width="7.140625" style="10" customWidth="1"/>
    <col min="9719" max="9719" width="7.7109375" style="10" bestFit="1" customWidth="1"/>
    <col min="9720" max="9720" width="7.28515625" style="10" customWidth="1"/>
    <col min="9721" max="9721" width="7" style="10" customWidth="1"/>
    <col min="9722" max="9722" width="7.5703125" style="10" customWidth="1"/>
    <col min="9723" max="9723" width="7.140625" style="10" customWidth="1"/>
    <col min="9724" max="9724" width="7" style="10" customWidth="1"/>
    <col min="9725" max="9725" width="7.5703125" style="10" customWidth="1"/>
    <col min="9726" max="9726" width="7.140625" style="10" customWidth="1"/>
    <col min="9727" max="9743" width="8.7109375" style="10" customWidth="1"/>
    <col min="9744" max="9744" width="36.85546875" style="10" customWidth="1"/>
    <col min="9745" max="9751" width="14.28515625" style="10" customWidth="1"/>
    <col min="9752" max="9966" width="9.140625" style="10"/>
    <col min="9967" max="9967" width="38.5703125" style="10" customWidth="1"/>
    <col min="9968" max="9968" width="6.5703125" style="10" customWidth="1"/>
    <col min="9969" max="9969" width="7.7109375" style="10" bestFit="1" customWidth="1"/>
    <col min="9970" max="9970" width="7.28515625" style="10" customWidth="1"/>
    <col min="9971" max="9971" width="6.5703125" style="10" bestFit="1" customWidth="1"/>
    <col min="9972" max="9972" width="7.28515625" style="10" bestFit="1" customWidth="1"/>
    <col min="9973" max="9973" width="8.140625" style="10" customWidth="1"/>
    <col min="9974" max="9974" width="7.140625" style="10" customWidth="1"/>
    <col min="9975" max="9975" width="7.7109375" style="10" bestFit="1" customWidth="1"/>
    <col min="9976" max="9976" width="7.28515625" style="10" customWidth="1"/>
    <col min="9977" max="9977" width="7" style="10" customWidth="1"/>
    <col min="9978" max="9978" width="7.5703125" style="10" customWidth="1"/>
    <col min="9979" max="9979" width="7.140625" style="10" customWidth="1"/>
    <col min="9980" max="9980" width="7" style="10" customWidth="1"/>
    <col min="9981" max="9981" width="7.5703125" style="10" customWidth="1"/>
    <col min="9982" max="9982" width="7.140625" style="10" customWidth="1"/>
    <col min="9983" max="9999" width="8.7109375" style="10" customWidth="1"/>
    <col min="10000" max="10000" width="36.85546875" style="10" customWidth="1"/>
    <col min="10001" max="10007" width="14.28515625" style="10" customWidth="1"/>
    <col min="10008" max="10222" width="9.140625" style="10"/>
    <col min="10223" max="10223" width="38.5703125" style="10" customWidth="1"/>
    <col min="10224" max="10224" width="6.5703125" style="10" customWidth="1"/>
    <col min="10225" max="10225" width="7.7109375" style="10" bestFit="1" customWidth="1"/>
    <col min="10226" max="10226" width="7.28515625" style="10" customWidth="1"/>
    <col min="10227" max="10227" width="6.5703125" style="10" bestFit="1" customWidth="1"/>
    <col min="10228" max="10228" width="7.28515625" style="10" bestFit="1" customWidth="1"/>
    <col min="10229" max="10229" width="8.140625" style="10" customWidth="1"/>
    <col min="10230" max="10230" width="7.140625" style="10" customWidth="1"/>
    <col min="10231" max="10231" width="7.7109375" style="10" bestFit="1" customWidth="1"/>
    <col min="10232" max="10232" width="7.28515625" style="10" customWidth="1"/>
    <col min="10233" max="10233" width="7" style="10" customWidth="1"/>
    <col min="10234" max="10234" width="7.5703125" style="10" customWidth="1"/>
    <col min="10235" max="10235" width="7.140625" style="10" customWidth="1"/>
    <col min="10236" max="10236" width="7" style="10" customWidth="1"/>
    <col min="10237" max="10237" width="7.5703125" style="10" customWidth="1"/>
    <col min="10238" max="10238" width="7.140625" style="10" customWidth="1"/>
    <col min="10239" max="10255" width="8.7109375" style="10" customWidth="1"/>
    <col min="10256" max="10256" width="36.85546875" style="10" customWidth="1"/>
    <col min="10257" max="10263" width="14.28515625" style="10" customWidth="1"/>
    <col min="10264" max="10478" width="9.140625" style="10"/>
    <col min="10479" max="10479" width="38.5703125" style="10" customWidth="1"/>
    <col min="10480" max="10480" width="6.5703125" style="10" customWidth="1"/>
    <col min="10481" max="10481" width="7.7109375" style="10" bestFit="1" customWidth="1"/>
    <col min="10482" max="10482" width="7.28515625" style="10" customWidth="1"/>
    <col min="10483" max="10483" width="6.5703125" style="10" bestFit="1" customWidth="1"/>
    <col min="10484" max="10484" width="7.28515625" style="10" bestFit="1" customWidth="1"/>
    <col min="10485" max="10485" width="8.140625" style="10" customWidth="1"/>
    <col min="10486" max="10486" width="7.140625" style="10" customWidth="1"/>
    <col min="10487" max="10487" width="7.7109375" style="10" bestFit="1" customWidth="1"/>
    <col min="10488" max="10488" width="7.28515625" style="10" customWidth="1"/>
    <col min="10489" max="10489" width="7" style="10" customWidth="1"/>
    <col min="10490" max="10490" width="7.5703125" style="10" customWidth="1"/>
    <col min="10491" max="10491" width="7.140625" style="10" customWidth="1"/>
    <col min="10492" max="10492" width="7" style="10" customWidth="1"/>
    <col min="10493" max="10493" width="7.5703125" style="10" customWidth="1"/>
    <col min="10494" max="10494" width="7.140625" style="10" customWidth="1"/>
    <col min="10495" max="10511" width="8.7109375" style="10" customWidth="1"/>
    <col min="10512" max="10512" width="36.85546875" style="10" customWidth="1"/>
    <col min="10513" max="10519" width="14.28515625" style="10" customWidth="1"/>
    <col min="10520" max="10734" width="9.140625" style="10"/>
    <col min="10735" max="10735" width="38.5703125" style="10" customWidth="1"/>
    <col min="10736" max="10736" width="6.5703125" style="10" customWidth="1"/>
    <col min="10737" max="10737" width="7.7109375" style="10" bestFit="1" customWidth="1"/>
    <col min="10738" max="10738" width="7.28515625" style="10" customWidth="1"/>
    <col min="10739" max="10739" width="6.5703125" style="10" bestFit="1" customWidth="1"/>
    <col min="10740" max="10740" width="7.28515625" style="10" bestFit="1" customWidth="1"/>
    <col min="10741" max="10741" width="8.140625" style="10" customWidth="1"/>
    <col min="10742" max="10742" width="7.140625" style="10" customWidth="1"/>
    <col min="10743" max="10743" width="7.7109375" style="10" bestFit="1" customWidth="1"/>
    <col min="10744" max="10744" width="7.28515625" style="10" customWidth="1"/>
    <col min="10745" max="10745" width="7" style="10" customWidth="1"/>
    <col min="10746" max="10746" width="7.5703125" style="10" customWidth="1"/>
    <col min="10747" max="10747" width="7.140625" style="10" customWidth="1"/>
    <col min="10748" max="10748" width="7" style="10" customWidth="1"/>
    <col min="10749" max="10749" width="7.5703125" style="10" customWidth="1"/>
    <col min="10750" max="10750" width="7.140625" style="10" customWidth="1"/>
    <col min="10751" max="10767" width="8.7109375" style="10" customWidth="1"/>
    <col min="10768" max="10768" width="36.85546875" style="10" customWidth="1"/>
    <col min="10769" max="10775" width="14.28515625" style="10" customWidth="1"/>
    <col min="10776" max="10990" width="9.140625" style="10"/>
    <col min="10991" max="10991" width="38.5703125" style="10" customWidth="1"/>
    <col min="10992" max="10992" width="6.5703125" style="10" customWidth="1"/>
    <col min="10993" max="10993" width="7.7109375" style="10" bestFit="1" customWidth="1"/>
    <col min="10994" max="10994" width="7.28515625" style="10" customWidth="1"/>
    <col min="10995" max="10995" width="6.5703125" style="10" bestFit="1" customWidth="1"/>
    <col min="10996" max="10996" width="7.28515625" style="10" bestFit="1" customWidth="1"/>
    <col min="10997" max="10997" width="8.140625" style="10" customWidth="1"/>
    <col min="10998" max="10998" width="7.140625" style="10" customWidth="1"/>
    <col min="10999" max="10999" width="7.7109375" style="10" bestFit="1" customWidth="1"/>
    <col min="11000" max="11000" width="7.28515625" style="10" customWidth="1"/>
    <col min="11001" max="11001" width="7" style="10" customWidth="1"/>
    <col min="11002" max="11002" width="7.5703125" style="10" customWidth="1"/>
    <col min="11003" max="11003" width="7.140625" style="10" customWidth="1"/>
    <col min="11004" max="11004" width="7" style="10" customWidth="1"/>
    <col min="11005" max="11005" width="7.5703125" style="10" customWidth="1"/>
    <col min="11006" max="11006" width="7.140625" style="10" customWidth="1"/>
    <col min="11007" max="11023" width="8.7109375" style="10" customWidth="1"/>
    <col min="11024" max="11024" width="36.85546875" style="10" customWidth="1"/>
    <col min="11025" max="11031" width="14.28515625" style="10" customWidth="1"/>
    <col min="11032" max="11246" width="9.140625" style="10"/>
    <col min="11247" max="11247" width="38.5703125" style="10" customWidth="1"/>
    <col min="11248" max="11248" width="6.5703125" style="10" customWidth="1"/>
    <col min="11249" max="11249" width="7.7109375" style="10" bestFit="1" customWidth="1"/>
    <col min="11250" max="11250" width="7.28515625" style="10" customWidth="1"/>
    <col min="11251" max="11251" width="6.5703125" style="10" bestFit="1" customWidth="1"/>
    <col min="11252" max="11252" width="7.28515625" style="10" bestFit="1" customWidth="1"/>
    <col min="11253" max="11253" width="8.140625" style="10" customWidth="1"/>
    <col min="11254" max="11254" width="7.140625" style="10" customWidth="1"/>
    <col min="11255" max="11255" width="7.7109375" style="10" bestFit="1" customWidth="1"/>
    <col min="11256" max="11256" width="7.28515625" style="10" customWidth="1"/>
    <col min="11257" max="11257" width="7" style="10" customWidth="1"/>
    <col min="11258" max="11258" width="7.5703125" style="10" customWidth="1"/>
    <col min="11259" max="11259" width="7.140625" style="10" customWidth="1"/>
    <col min="11260" max="11260" width="7" style="10" customWidth="1"/>
    <col min="11261" max="11261" width="7.5703125" style="10" customWidth="1"/>
    <col min="11262" max="11262" width="7.140625" style="10" customWidth="1"/>
    <col min="11263" max="11279" width="8.7109375" style="10" customWidth="1"/>
    <col min="11280" max="11280" width="36.85546875" style="10" customWidth="1"/>
    <col min="11281" max="11287" width="14.28515625" style="10" customWidth="1"/>
    <col min="11288" max="11502" width="9.140625" style="10"/>
    <col min="11503" max="11503" width="38.5703125" style="10" customWidth="1"/>
    <col min="11504" max="11504" width="6.5703125" style="10" customWidth="1"/>
    <col min="11505" max="11505" width="7.7109375" style="10" bestFit="1" customWidth="1"/>
    <col min="11506" max="11506" width="7.28515625" style="10" customWidth="1"/>
    <col min="11507" max="11507" width="6.5703125" style="10" bestFit="1" customWidth="1"/>
    <col min="11508" max="11508" width="7.28515625" style="10" bestFit="1" customWidth="1"/>
    <col min="11509" max="11509" width="8.140625" style="10" customWidth="1"/>
    <col min="11510" max="11510" width="7.140625" style="10" customWidth="1"/>
    <col min="11511" max="11511" width="7.7109375" style="10" bestFit="1" customWidth="1"/>
    <col min="11512" max="11512" width="7.28515625" style="10" customWidth="1"/>
    <col min="11513" max="11513" width="7" style="10" customWidth="1"/>
    <col min="11514" max="11514" width="7.5703125" style="10" customWidth="1"/>
    <col min="11515" max="11515" width="7.140625" style="10" customWidth="1"/>
    <col min="11516" max="11516" width="7" style="10" customWidth="1"/>
    <col min="11517" max="11517" width="7.5703125" style="10" customWidth="1"/>
    <col min="11518" max="11518" width="7.140625" style="10" customWidth="1"/>
    <col min="11519" max="11535" width="8.7109375" style="10" customWidth="1"/>
    <col min="11536" max="11536" width="36.85546875" style="10" customWidth="1"/>
    <col min="11537" max="11543" width="14.28515625" style="10" customWidth="1"/>
    <col min="11544" max="11758" width="9.140625" style="10"/>
    <col min="11759" max="11759" width="38.5703125" style="10" customWidth="1"/>
    <col min="11760" max="11760" width="6.5703125" style="10" customWidth="1"/>
    <col min="11761" max="11761" width="7.7109375" style="10" bestFit="1" customWidth="1"/>
    <col min="11762" max="11762" width="7.28515625" style="10" customWidth="1"/>
    <col min="11763" max="11763" width="6.5703125" style="10" bestFit="1" customWidth="1"/>
    <col min="11764" max="11764" width="7.28515625" style="10" bestFit="1" customWidth="1"/>
    <col min="11765" max="11765" width="8.140625" style="10" customWidth="1"/>
    <col min="11766" max="11766" width="7.140625" style="10" customWidth="1"/>
    <col min="11767" max="11767" width="7.7109375" style="10" bestFit="1" customWidth="1"/>
    <col min="11768" max="11768" width="7.28515625" style="10" customWidth="1"/>
    <col min="11769" max="11769" width="7" style="10" customWidth="1"/>
    <col min="11770" max="11770" width="7.5703125" style="10" customWidth="1"/>
    <col min="11771" max="11771" width="7.140625" style="10" customWidth="1"/>
    <col min="11772" max="11772" width="7" style="10" customWidth="1"/>
    <col min="11773" max="11773" width="7.5703125" style="10" customWidth="1"/>
    <col min="11774" max="11774" width="7.140625" style="10" customWidth="1"/>
    <col min="11775" max="11791" width="8.7109375" style="10" customWidth="1"/>
    <col min="11792" max="11792" width="36.85546875" style="10" customWidth="1"/>
    <col min="11793" max="11799" width="14.28515625" style="10" customWidth="1"/>
    <col min="11800" max="12014" width="9.140625" style="10"/>
    <col min="12015" max="12015" width="38.5703125" style="10" customWidth="1"/>
    <col min="12016" max="12016" width="6.5703125" style="10" customWidth="1"/>
    <col min="12017" max="12017" width="7.7109375" style="10" bestFit="1" customWidth="1"/>
    <col min="12018" max="12018" width="7.28515625" style="10" customWidth="1"/>
    <col min="12019" max="12019" width="6.5703125" style="10" bestFit="1" customWidth="1"/>
    <col min="12020" max="12020" width="7.28515625" style="10" bestFit="1" customWidth="1"/>
    <col min="12021" max="12021" width="8.140625" style="10" customWidth="1"/>
    <col min="12022" max="12022" width="7.140625" style="10" customWidth="1"/>
    <col min="12023" max="12023" width="7.7109375" style="10" bestFit="1" customWidth="1"/>
    <col min="12024" max="12024" width="7.28515625" style="10" customWidth="1"/>
    <col min="12025" max="12025" width="7" style="10" customWidth="1"/>
    <col min="12026" max="12026" width="7.5703125" style="10" customWidth="1"/>
    <col min="12027" max="12027" width="7.140625" style="10" customWidth="1"/>
    <col min="12028" max="12028" width="7" style="10" customWidth="1"/>
    <col min="12029" max="12029" width="7.5703125" style="10" customWidth="1"/>
    <col min="12030" max="12030" width="7.140625" style="10" customWidth="1"/>
    <col min="12031" max="12047" width="8.7109375" style="10" customWidth="1"/>
    <col min="12048" max="12048" width="36.85546875" style="10" customWidth="1"/>
    <col min="12049" max="12055" width="14.28515625" style="10" customWidth="1"/>
    <col min="12056" max="12270" width="9.140625" style="10"/>
    <col min="12271" max="12271" width="38.5703125" style="10" customWidth="1"/>
    <col min="12272" max="12272" width="6.5703125" style="10" customWidth="1"/>
    <col min="12273" max="12273" width="7.7109375" style="10" bestFit="1" customWidth="1"/>
    <col min="12274" max="12274" width="7.28515625" style="10" customWidth="1"/>
    <col min="12275" max="12275" width="6.5703125" style="10" bestFit="1" customWidth="1"/>
    <col min="12276" max="12276" width="7.28515625" style="10" bestFit="1" customWidth="1"/>
    <col min="12277" max="12277" width="8.140625" style="10" customWidth="1"/>
    <col min="12278" max="12278" width="7.140625" style="10" customWidth="1"/>
    <col min="12279" max="12279" width="7.7109375" style="10" bestFit="1" customWidth="1"/>
    <col min="12280" max="12280" width="7.28515625" style="10" customWidth="1"/>
    <col min="12281" max="12281" width="7" style="10" customWidth="1"/>
    <col min="12282" max="12282" width="7.5703125" style="10" customWidth="1"/>
    <col min="12283" max="12283" width="7.140625" style="10" customWidth="1"/>
    <col min="12284" max="12284" width="7" style="10" customWidth="1"/>
    <col min="12285" max="12285" width="7.5703125" style="10" customWidth="1"/>
    <col min="12286" max="12286" width="7.140625" style="10" customWidth="1"/>
    <col min="12287" max="12303" width="8.7109375" style="10" customWidth="1"/>
    <col min="12304" max="12304" width="36.85546875" style="10" customWidth="1"/>
    <col min="12305" max="12311" width="14.28515625" style="10" customWidth="1"/>
    <col min="12312" max="12526" width="9.140625" style="10"/>
    <col min="12527" max="12527" width="38.5703125" style="10" customWidth="1"/>
    <col min="12528" max="12528" width="6.5703125" style="10" customWidth="1"/>
    <col min="12529" max="12529" width="7.7109375" style="10" bestFit="1" customWidth="1"/>
    <col min="12530" max="12530" width="7.28515625" style="10" customWidth="1"/>
    <col min="12531" max="12531" width="6.5703125" style="10" bestFit="1" customWidth="1"/>
    <col min="12532" max="12532" width="7.28515625" style="10" bestFit="1" customWidth="1"/>
    <col min="12533" max="12533" width="8.140625" style="10" customWidth="1"/>
    <col min="12534" max="12534" width="7.140625" style="10" customWidth="1"/>
    <col min="12535" max="12535" width="7.7109375" style="10" bestFit="1" customWidth="1"/>
    <col min="12536" max="12536" width="7.28515625" style="10" customWidth="1"/>
    <col min="12537" max="12537" width="7" style="10" customWidth="1"/>
    <col min="12538" max="12538" width="7.5703125" style="10" customWidth="1"/>
    <col min="12539" max="12539" width="7.140625" style="10" customWidth="1"/>
    <col min="12540" max="12540" width="7" style="10" customWidth="1"/>
    <col min="12541" max="12541" width="7.5703125" style="10" customWidth="1"/>
    <col min="12542" max="12542" width="7.140625" style="10" customWidth="1"/>
    <col min="12543" max="12559" width="8.7109375" style="10" customWidth="1"/>
    <col min="12560" max="12560" width="36.85546875" style="10" customWidth="1"/>
    <col min="12561" max="12567" width="14.28515625" style="10" customWidth="1"/>
    <col min="12568" max="12782" width="9.140625" style="10"/>
    <col min="12783" max="12783" width="38.5703125" style="10" customWidth="1"/>
    <col min="12784" max="12784" width="6.5703125" style="10" customWidth="1"/>
    <col min="12785" max="12785" width="7.7109375" style="10" bestFit="1" customWidth="1"/>
    <col min="12786" max="12786" width="7.28515625" style="10" customWidth="1"/>
    <col min="12787" max="12787" width="6.5703125" style="10" bestFit="1" customWidth="1"/>
    <col min="12788" max="12788" width="7.28515625" style="10" bestFit="1" customWidth="1"/>
    <col min="12789" max="12789" width="8.140625" style="10" customWidth="1"/>
    <col min="12790" max="12790" width="7.140625" style="10" customWidth="1"/>
    <col min="12791" max="12791" width="7.7109375" style="10" bestFit="1" customWidth="1"/>
    <col min="12792" max="12792" width="7.28515625" style="10" customWidth="1"/>
    <col min="12793" max="12793" width="7" style="10" customWidth="1"/>
    <col min="12794" max="12794" width="7.5703125" style="10" customWidth="1"/>
    <col min="12795" max="12795" width="7.140625" style="10" customWidth="1"/>
    <col min="12796" max="12796" width="7" style="10" customWidth="1"/>
    <col min="12797" max="12797" width="7.5703125" style="10" customWidth="1"/>
    <col min="12798" max="12798" width="7.140625" style="10" customWidth="1"/>
    <col min="12799" max="12815" width="8.7109375" style="10" customWidth="1"/>
    <col min="12816" max="12816" width="36.85546875" style="10" customWidth="1"/>
    <col min="12817" max="12823" width="14.28515625" style="10" customWidth="1"/>
    <col min="12824" max="13038" width="9.140625" style="10"/>
    <col min="13039" max="13039" width="38.5703125" style="10" customWidth="1"/>
    <col min="13040" max="13040" width="6.5703125" style="10" customWidth="1"/>
    <col min="13041" max="13041" width="7.7109375" style="10" bestFit="1" customWidth="1"/>
    <col min="13042" max="13042" width="7.28515625" style="10" customWidth="1"/>
    <col min="13043" max="13043" width="6.5703125" style="10" bestFit="1" customWidth="1"/>
    <col min="13044" max="13044" width="7.28515625" style="10" bestFit="1" customWidth="1"/>
    <col min="13045" max="13045" width="8.140625" style="10" customWidth="1"/>
    <col min="13046" max="13046" width="7.140625" style="10" customWidth="1"/>
    <col min="13047" max="13047" width="7.7109375" style="10" bestFit="1" customWidth="1"/>
    <col min="13048" max="13048" width="7.28515625" style="10" customWidth="1"/>
    <col min="13049" max="13049" width="7" style="10" customWidth="1"/>
    <col min="13050" max="13050" width="7.5703125" style="10" customWidth="1"/>
    <col min="13051" max="13051" width="7.140625" style="10" customWidth="1"/>
    <col min="13052" max="13052" width="7" style="10" customWidth="1"/>
    <col min="13053" max="13053" width="7.5703125" style="10" customWidth="1"/>
    <col min="13054" max="13054" width="7.140625" style="10" customWidth="1"/>
    <col min="13055" max="13071" width="8.7109375" style="10" customWidth="1"/>
    <col min="13072" max="13072" width="36.85546875" style="10" customWidth="1"/>
    <col min="13073" max="13079" width="14.28515625" style="10" customWidth="1"/>
    <col min="13080" max="13294" width="9.140625" style="10"/>
    <col min="13295" max="13295" width="38.5703125" style="10" customWidth="1"/>
    <col min="13296" max="13296" width="6.5703125" style="10" customWidth="1"/>
    <col min="13297" max="13297" width="7.7109375" style="10" bestFit="1" customWidth="1"/>
    <col min="13298" max="13298" width="7.28515625" style="10" customWidth="1"/>
    <col min="13299" max="13299" width="6.5703125" style="10" bestFit="1" customWidth="1"/>
    <col min="13300" max="13300" width="7.28515625" style="10" bestFit="1" customWidth="1"/>
    <col min="13301" max="13301" width="8.140625" style="10" customWidth="1"/>
    <col min="13302" max="13302" width="7.140625" style="10" customWidth="1"/>
    <col min="13303" max="13303" width="7.7109375" style="10" bestFit="1" customWidth="1"/>
    <col min="13304" max="13304" width="7.28515625" style="10" customWidth="1"/>
    <col min="13305" max="13305" width="7" style="10" customWidth="1"/>
    <col min="13306" max="13306" width="7.5703125" style="10" customWidth="1"/>
    <col min="13307" max="13307" width="7.140625" style="10" customWidth="1"/>
    <col min="13308" max="13308" width="7" style="10" customWidth="1"/>
    <col min="13309" max="13309" width="7.5703125" style="10" customWidth="1"/>
    <col min="13310" max="13310" width="7.140625" style="10" customWidth="1"/>
    <col min="13311" max="13327" width="8.7109375" style="10" customWidth="1"/>
    <col min="13328" max="13328" width="36.85546875" style="10" customWidth="1"/>
    <col min="13329" max="13335" width="14.28515625" style="10" customWidth="1"/>
    <col min="13336" max="13550" width="9.140625" style="10"/>
    <col min="13551" max="13551" width="38.5703125" style="10" customWidth="1"/>
    <col min="13552" max="13552" width="6.5703125" style="10" customWidth="1"/>
    <col min="13553" max="13553" width="7.7109375" style="10" bestFit="1" customWidth="1"/>
    <col min="13554" max="13554" width="7.28515625" style="10" customWidth="1"/>
    <col min="13555" max="13555" width="6.5703125" style="10" bestFit="1" customWidth="1"/>
    <col min="13556" max="13556" width="7.28515625" style="10" bestFit="1" customWidth="1"/>
    <col min="13557" max="13557" width="8.140625" style="10" customWidth="1"/>
    <col min="13558" max="13558" width="7.140625" style="10" customWidth="1"/>
    <col min="13559" max="13559" width="7.7109375" style="10" bestFit="1" customWidth="1"/>
    <col min="13560" max="13560" width="7.28515625" style="10" customWidth="1"/>
    <col min="13561" max="13561" width="7" style="10" customWidth="1"/>
    <col min="13562" max="13562" width="7.5703125" style="10" customWidth="1"/>
    <col min="13563" max="13563" width="7.140625" style="10" customWidth="1"/>
    <col min="13564" max="13564" width="7" style="10" customWidth="1"/>
    <col min="13565" max="13565" width="7.5703125" style="10" customWidth="1"/>
    <col min="13566" max="13566" width="7.140625" style="10" customWidth="1"/>
    <col min="13567" max="13583" width="8.7109375" style="10" customWidth="1"/>
    <col min="13584" max="13584" width="36.85546875" style="10" customWidth="1"/>
    <col min="13585" max="13591" width="14.28515625" style="10" customWidth="1"/>
    <col min="13592" max="13806" width="9.140625" style="10"/>
    <col min="13807" max="13807" width="38.5703125" style="10" customWidth="1"/>
    <col min="13808" max="13808" width="6.5703125" style="10" customWidth="1"/>
    <col min="13809" max="13809" width="7.7109375" style="10" bestFit="1" customWidth="1"/>
    <col min="13810" max="13810" width="7.28515625" style="10" customWidth="1"/>
    <col min="13811" max="13811" width="6.5703125" style="10" bestFit="1" customWidth="1"/>
    <col min="13812" max="13812" width="7.28515625" style="10" bestFit="1" customWidth="1"/>
    <col min="13813" max="13813" width="8.140625" style="10" customWidth="1"/>
    <col min="13814" max="13814" width="7.140625" style="10" customWidth="1"/>
    <col min="13815" max="13815" width="7.7109375" style="10" bestFit="1" customWidth="1"/>
    <col min="13816" max="13816" width="7.28515625" style="10" customWidth="1"/>
    <col min="13817" max="13817" width="7" style="10" customWidth="1"/>
    <col min="13818" max="13818" width="7.5703125" style="10" customWidth="1"/>
    <col min="13819" max="13819" width="7.140625" style="10" customWidth="1"/>
    <col min="13820" max="13820" width="7" style="10" customWidth="1"/>
    <col min="13821" max="13821" width="7.5703125" style="10" customWidth="1"/>
    <col min="13822" max="13822" width="7.140625" style="10" customWidth="1"/>
    <col min="13823" max="13839" width="8.7109375" style="10" customWidth="1"/>
    <col min="13840" max="13840" width="36.85546875" style="10" customWidth="1"/>
    <col min="13841" max="13847" width="14.28515625" style="10" customWidth="1"/>
    <col min="13848" max="14062" width="9.140625" style="10"/>
    <col min="14063" max="14063" width="38.5703125" style="10" customWidth="1"/>
    <col min="14064" max="14064" width="6.5703125" style="10" customWidth="1"/>
    <col min="14065" max="14065" width="7.7109375" style="10" bestFit="1" customWidth="1"/>
    <col min="14066" max="14066" width="7.28515625" style="10" customWidth="1"/>
    <col min="14067" max="14067" width="6.5703125" style="10" bestFit="1" customWidth="1"/>
    <col min="14068" max="14068" width="7.28515625" style="10" bestFit="1" customWidth="1"/>
    <col min="14069" max="14069" width="8.140625" style="10" customWidth="1"/>
    <col min="14070" max="14070" width="7.140625" style="10" customWidth="1"/>
    <col min="14071" max="14071" width="7.7109375" style="10" bestFit="1" customWidth="1"/>
    <col min="14072" max="14072" width="7.28515625" style="10" customWidth="1"/>
    <col min="14073" max="14073" width="7" style="10" customWidth="1"/>
    <col min="14074" max="14074" width="7.5703125" style="10" customWidth="1"/>
    <col min="14075" max="14075" width="7.140625" style="10" customWidth="1"/>
    <col min="14076" max="14076" width="7" style="10" customWidth="1"/>
    <col min="14077" max="14077" width="7.5703125" style="10" customWidth="1"/>
    <col min="14078" max="14078" width="7.140625" style="10" customWidth="1"/>
    <col min="14079" max="14095" width="8.7109375" style="10" customWidth="1"/>
    <col min="14096" max="14096" width="36.85546875" style="10" customWidth="1"/>
    <col min="14097" max="14103" width="14.28515625" style="10" customWidth="1"/>
    <col min="14104" max="14318" width="9.140625" style="10"/>
    <col min="14319" max="14319" width="38.5703125" style="10" customWidth="1"/>
    <col min="14320" max="14320" width="6.5703125" style="10" customWidth="1"/>
    <col min="14321" max="14321" width="7.7109375" style="10" bestFit="1" customWidth="1"/>
    <col min="14322" max="14322" width="7.28515625" style="10" customWidth="1"/>
    <col min="14323" max="14323" width="6.5703125" style="10" bestFit="1" customWidth="1"/>
    <col min="14324" max="14324" width="7.28515625" style="10" bestFit="1" customWidth="1"/>
    <col min="14325" max="14325" width="8.140625" style="10" customWidth="1"/>
    <col min="14326" max="14326" width="7.140625" style="10" customWidth="1"/>
    <col min="14327" max="14327" width="7.7109375" style="10" bestFit="1" customWidth="1"/>
    <col min="14328" max="14328" width="7.28515625" style="10" customWidth="1"/>
    <col min="14329" max="14329" width="7" style="10" customWidth="1"/>
    <col min="14330" max="14330" width="7.5703125" style="10" customWidth="1"/>
    <col min="14331" max="14331" width="7.140625" style="10" customWidth="1"/>
    <col min="14332" max="14332" width="7" style="10" customWidth="1"/>
    <col min="14333" max="14333" width="7.5703125" style="10" customWidth="1"/>
    <col min="14334" max="14334" width="7.140625" style="10" customWidth="1"/>
    <col min="14335" max="14351" width="8.7109375" style="10" customWidth="1"/>
    <col min="14352" max="14352" width="36.85546875" style="10" customWidth="1"/>
    <col min="14353" max="14359" width="14.28515625" style="10" customWidth="1"/>
    <col min="14360" max="14574" width="9.140625" style="10"/>
    <col min="14575" max="14575" width="38.5703125" style="10" customWidth="1"/>
    <col min="14576" max="14576" width="6.5703125" style="10" customWidth="1"/>
    <col min="14577" max="14577" width="7.7109375" style="10" bestFit="1" customWidth="1"/>
    <col min="14578" max="14578" width="7.28515625" style="10" customWidth="1"/>
    <col min="14579" max="14579" width="6.5703125" style="10" bestFit="1" customWidth="1"/>
    <col min="14580" max="14580" width="7.28515625" style="10" bestFit="1" customWidth="1"/>
    <col min="14581" max="14581" width="8.140625" style="10" customWidth="1"/>
    <col min="14582" max="14582" width="7.140625" style="10" customWidth="1"/>
    <col min="14583" max="14583" width="7.7109375" style="10" bestFit="1" customWidth="1"/>
    <col min="14584" max="14584" width="7.28515625" style="10" customWidth="1"/>
    <col min="14585" max="14585" width="7" style="10" customWidth="1"/>
    <col min="14586" max="14586" width="7.5703125" style="10" customWidth="1"/>
    <col min="14587" max="14587" width="7.140625" style="10" customWidth="1"/>
    <col min="14588" max="14588" width="7" style="10" customWidth="1"/>
    <col min="14589" max="14589" width="7.5703125" style="10" customWidth="1"/>
    <col min="14590" max="14590" width="7.140625" style="10" customWidth="1"/>
    <col min="14591" max="14607" width="8.7109375" style="10" customWidth="1"/>
    <col min="14608" max="14608" width="36.85546875" style="10" customWidth="1"/>
    <col min="14609" max="14615" width="14.28515625" style="10" customWidth="1"/>
    <col min="14616" max="14830" width="9.140625" style="10"/>
    <col min="14831" max="14831" width="38.5703125" style="10" customWidth="1"/>
    <col min="14832" max="14832" width="6.5703125" style="10" customWidth="1"/>
    <col min="14833" max="14833" width="7.7109375" style="10" bestFit="1" customWidth="1"/>
    <col min="14834" max="14834" width="7.28515625" style="10" customWidth="1"/>
    <col min="14835" max="14835" width="6.5703125" style="10" bestFit="1" customWidth="1"/>
    <col min="14836" max="14836" width="7.28515625" style="10" bestFit="1" customWidth="1"/>
    <col min="14837" max="14837" width="8.140625" style="10" customWidth="1"/>
    <col min="14838" max="14838" width="7.140625" style="10" customWidth="1"/>
    <col min="14839" max="14839" width="7.7109375" style="10" bestFit="1" customWidth="1"/>
    <col min="14840" max="14840" width="7.28515625" style="10" customWidth="1"/>
    <col min="14841" max="14841" width="7" style="10" customWidth="1"/>
    <col min="14842" max="14842" width="7.5703125" style="10" customWidth="1"/>
    <col min="14843" max="14843" width="7.140625" style="10" customWidth="1"/>
    <col min="14844" max="14844" width="7" style="10" customWidth="1"/>
    <col min="14845" max="14845" width="7.5703125" style="10" customWidth="1"/>
    <col min="14846" max="14846" width="7.140625" style="10" customWidth="1"/>
    <col min="14847" max="14863" width="8.7109375" style="10" customWidth="1"/>
    <col min="14864" max="14864" width="36.85546875" style="10" customWidth="1"/>
    <col min="14865" max="14871" width="14.28515625" style="10" customWidth="1"/>
    <col min="14872" max="15086" width="9.140625" style="10"/>
    <col min="15087" max="15087" width="38.5703125" style="10" customWidth="1"/>
    <col min="15088" max="15088" width="6.5703125" style="10" customWidth="1"/>
    <col min="15089" max="15089" width="7.7109375" style="10" bestFit="1" customWidth="1"/>
    <col min="15090" max="15090" width="7.28515625" style="10" customWidth="1"/>
    <col min="15091" max="15091" width="6.5703125" style="10" bestFit="1" customWidth="1"/>
    <col min="15092" max="15092" width="7.28515625" style="10" bestFit="1" customWidth="1"/>
    <col min="15093" max="15093" width="8.140625" style="10" customWidth="1"/>
    <col min="15094" max="15094" width="7.140625" style="10" customWidth="1"/>
    <col min="15095" max="15095" width="7.7109375" style="10" bestFit="1" customWidth="1"/>
    <col min="15096" max="15096" width="7.28515625" style="10" customWidth="1"/>
    <col min="15097" max="15097" width="7" style="10" customWidth="1"/>
    <col min="15098" max="15098" width="7.5703125" style="10" customWidth="1"/>
    <col min="15099" max="15099" width="7.140625" style="10" customWidth="1"/>
    <col min="15100" max="15100" width="7" style="10" customWidth="1"/>
    <col min="15101" max="15101" width="7.5703125" style="10" customWidth="1"/>
    <col min="15102" max="15102" width="7.140625" style="10" customWidth="1"/>
    <col min="15103" max="15119" width="8.7109375" style="10" customWidth="1"/>
    <col min="15120" max="15120" width="36.85546875" style="10" customWidth="1"/>
    <col min="15121" max="15127" width="14.28515625" style="10" customWidth="1"/>
    <col min="15128" max="15342" width="9.140625" style="10"/>
    <col min="15343" max="15343" width="38.5703125" style="10" customWidth="1"/>
    <col min="15344" max="15344" width="6.5703125" style="10" customWidth="1"/>
    <col min="15345" max="15345" width="7.7109375" style="10" bestFit="1" customWidth="1"/>
    <col min="15346" max="15346" width="7.28515625" style="10" customWidth="1"/>
    <col min="15347" max="15347" width="6.5703125" style="10" bestFit="1" customWidth="1"/>
    <col min="15348" max="15348" width="7.28515625" style="10" bestFit="1" customWidth="1"/>
    <col min="15349" max="15349" width="8.140625" style="10" customWidth="1"/>
    <col min="15350" max="15350" width="7.140625" style="10" customWidth="1"/>
    <col min="15351" max="15351" width="7.7109375" style="10" bestFit="1" customWidth="1"/>
    <col min="15352" max="15352" width="7.28515625" style="10" customWidth="1"/>
    <col min="15353" max="15353" width="7" style="10" customWidth="1"/>
    <col min="15354" max="15354" width="7.5703125" style="10" customWidth="1"/>
    <col min="15355" max="15355" width="7.140625" style="10" customWidth="1"/>
    <col min="15356" max="15356" width="7" style="10" customWidth="1"/>
    <col min="15357" max="15357" width="7.5703125" style="10" customWidth="1"/>
    <col min="15358" max="15358" width="7.140625" style="10" customWidth="1"/>
    <col min="15359" max="15375" width="8.7109375" style="10" customWidth="1"/>
    <col min="15376" max="15376" width="36.85546875" style="10" customWidth="1"/>
    <col min="15377" max="15383" width="14.28515625" style="10" customWidth="1"/>
    <col min="15384" max="15598" width="9.140625" style="10"/>
    <col min="15599" max="15599" width="38.5703125" style="10" customWidth="1"/>
    <col min="15600" max="15600" width="6.5703125" style="10" customWidth="1"/>
    <col min="15601" max="15601" width="7.7109375" style="10" bestFit="1" customWidth="1"/>
    <col min="15602" max="15602" width="7.28515625" style="10" customWidth="1"/>
    <col min="15603" max="15603" width="6.5703125" style="10" bestFit="1" customWidth="1"/>
    <col min="15604" max="15604" width="7.28515625" style="10" bestFit="1" customWidth="1"/>
    <col min="15605" max="15605" width="8.140625" style="10" customWidth="1"/>
    <col min="15606" max="15606" width="7.140625" style="10" customWidth="1"/>
    <col min="15607" max="15607" width="7.7109375" style="10" bestFit="1" customWidth="1"/>
    <col min="15608" max="15608" width="7.28515625" style="10" customWidth="1"/>
    <col min="15609" max="15609" width="7" style="10" customWidth="1"/>
    <col min="15610" max="15610" width="7.5703125" style="10" customWidth="1"/>
    <col min="15611" max="15611" width="7.140625" style="10" customWidth="1"/>
    <col min="15612" max="15612" width="7" style="10" customWidth="1"/>
    <col min="15613" max="15613" width="7.5703125" style="10" customWidth="1"/>
    <col min="15614" max="15614" width="7.140625" style="10" customWidth="1"/>
    <col min="15615" max="15631" width="8.7109375" style="10" customWidth="1"/>
    <col min="15632" max="15632" width="36.85546875" style="10" customWidth="1"/>
    <col min="15633" max="15639" width="14.28515625" style="10" customWidth="1"/>
    <col min="15640" max="15854" width="9.140625" style="10"/>
    <col min="15855" max="15855" width="38.5703125" style="10" customWidth="1"/>
    <col min="15856" max="15856" width="6.5703125" style="10" customWidth="1"/>
    <col min="15857" max="15857" width="7.7109375" style="10" bestFit="1" customWidth="1"/>
    <col min="15858" max="15858" width="7.28515625" style="10" customWidth="1"/>
    <col min="15859" max="15859" width="6.5703125" style="10" bestFit="1" customWidth="1"/>
    <col min="15860" max="15860" width="7.28515625" style="10" bestFit="1" customWidth="1"/>
    <col min="15861" max="15861" width="8.140625" style="10" customWidth="1"/>
    <col min="15862" max="15862" width="7.140625" style="10" customWidth="1"/>
    <col min="15863" max="15863" width="7.7109375" style="10" bestFit="1" customWidth="1"/>
    <col min="15864" max="15864" width="7.28515625" style="10" customWidth="1"/>
    <col min="15865" max="15865" width="7" style="10" customWidth="1"/>
    <col min="15866" max="15866" width="7.5703125" style="10" customWidth="1"/>
    <col min="15867" max="15867" width="7.140625" style="10" customWidth="1"/>
    <col min="15868" max="15868" width="7" style="10" customWidth="1"/>
    <col min="15869" max="15869" width="7.5703125" style="10" customWidth="1"/>
    <col min="15870" max="15870" width="7.140625" style="10" customWidth="1"/>
    <col min="15871" max="15887" width="8.7109375" style="10" customWidth="1"/>
    <col min="15888" max="15888" width="36.85546875" style="10" customWidth="1"/>
    <col min="15889" max="15895" width="14.28515625" style="10" customWidth="1"/>
    <col min="15896" max="16110" width="9.140625" style="10"/>
    <col min="16111" max="16111" width="38.5703125" style="10" customWidth="1"/>
    <col min="16112" max="16112" width="6.5703125" style="10" customWidth="1"/>
    <col min="16113" max="16113" width="7.7109375" style="10" bestFit="1" customWidth="1"/>
    <col min="16114" max="16114" width="7.28515625" style="10" customWidth="1"/>
    <col min="16115" max="16115" width="6.5703125" style="10" bestFit="1" customWidth="1"/>
    <col min="16116" max="16116" width="7.28515625" style="10" bestFit="1" customWidth="1"/>
    <col min="16117" max="16117" width="8.140625" style="10" customWidth="1"/>
    <col min="16118" max="16118" width="7.140625" style="10" customWidth="1"/>
    <col min="16119" max="16119" width="7.7109375" style="10" bestFit="1" customWidth="1"/>
    <col min="16120" max="16120" width="7.28515625" style="10" customWidth="1"/>
    <col min="16121" max="16121" width="7" style="10" customWidth="1"/>
    <col min="16122" max="16122" width="7.5703125" style="10" customWidth="1"/>
    <col min="16123" max="16123" width="7.140625" style="10" customWidth="1"/>
    <col min="16124" max="16124" width="7" style="10" customWidth="1"/>
    <col min="16125" max="16125" width="7.5703125" style="10" customWidth="1"/>
    <col min="16126" max="16126" width="7.140625" style="10" customWidth="1"/>
    <col min="16127" max="16143" width="8.7109375" style="10" customWidth="1"/>
    <col min="16144" max="16144" width="36.85546875" style="10" customWidth="1"/>
    <col min="16145" max="16151" width="14.28515625" style="10" customWidth="1"/>
    <col min="16152" max="16384" width="9.140625" style="10"/>
  </cols>
  <sheetData>
    <row r="1" spans="1:15" ht="18.75" customHeight="1">
      <c r="N1" s="1530" t="s">
        <v>881</v>
      </c>
      <c r="O1" s="1531"/>
    </row>
    <row r="2" spans="1:15" ht="39.950000000000003" customHeight="1">
      <c r="A2" s="1406" t="s">
        <v>1096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</row>
    <row r="3" spans="1:15" ht="3.75" customHeight="1">
      <c r="B3" s="1407"/>
      <c r="C3" s="1407"/>
      <c r="D3" s="1407"/>
      <c r="E3" s="1407"/>
      <c r="F3" s="1407"/>
      <c r="G3" s="1407"/>
      <c r="H3" s="1407"/>
      <c r="I3" s="10"/>
      <c r="J3" s="10"/>
      <c r="K3" s="10"/>
      <c r="L3" s="10"/>
      <c r="M3" s="10"/>
      <c r="N3" s="10"/>
      <c r="O3" s="10"/>
    </row>
    <row r="4" spans="1:15" s="188" customFormat="1" ht="27.75" customHeight="1">
      <c r="A4" s="183" t="s">
        <v>867</v>
      </c>
      <c r="B4" s="184"/>
      <c r="C4" s="1546" t="s">
        <v>1319</v>
      </c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</row>
    <row r="5" spans="1:15">
      <c r="B5" s="228"/>
      <c r="C5" s="20"/>
      <c r="D5" s="20"/>
      <c r="E5" s="20"/>
      <c r="F5" s="20"/>
      <c r="G5" s="20"/>
      <c r="H5" s="20"/>
      <c r="I5" s="10"/>
      <c r="J5" s="10"/>
      <c r="K5" s="10"/>
      <c r="L5" s="10"/>
      <c r="M5" s="10"/>
      <c r="N5" s="10"/>
      <c r="O5" s="10"/>
    </row>
    <row r="6" spans="1:15" s="759" customFormat="1" ht="20.100000000000001" customHeight="1">
      <c r="A6" s="1517" t="s">
        <v>878</v>
      </c>
      <c r="B6" s="1517"/>
      <c r="C6" s="1497" t="s">
        <v>1362</v>
      </c>
      <c r="D6" s="1498"/>
      <c r="E6" s="1498"/>
      <c r="F6" s="1498"/>
      <c r="G6" s="1498"/>
      <c r="H6" s="1498"/>
      <c r="I6" s="1499"/>
      <c r="J6" s="1499"/>
      <c r="K6" s="1499"/>
      <c r="L6" s="1499"/>
      <c r="M6" s="1499"/>
      <c r="N6" s="1499"/>
      <c r="O6" s="1500"/>
    </row>
    <row r="7" spans="1:15" s="759" customFormat="1" ht="20.100000000000001" customHeight="1">
      <c r="A7" s="1517"/>
      <c r="B7" s="1517"/>
      <c r="C7" s="1501" t="s">
        <v>154</v>
      </c>
      <c r="D7" s="1502" t="s">
        <v>155</v>
      </c>
      <c r="E7" s="1503"/>
      <c r="F7" s="1504" t="s">
        <v>156</v>
      </c>
      <c r="G7" s="1505"/>
      <c r="H7" s="1506"/>
      <c r="I7" s="1507" t="s">
        <v>157</v>
      </c>
      <c r="J7" s="1508"/>
      <c r="K7" s="1509"/>
      <c r="L7" s="1501" t="s">
        <v>136</v>
      </c>
      <c r="M7" s="1502"/>
      <c r="N7" s="1503"/>
      <c r="O7" s="1510" t="s">
        <v>138</v>
      </c>
    </row>
    <row r="8" spans="1:15" s="759" customFormat="1" ht="39.950000000000003" customHeight="1">
      <c r="A8" s="1517"/>
      <c r="B8" s="1517"/>
      <c r="C8" s="229" t="s">
        <v>140</v>
      </c>
      <c r="D8" s="230" t="s">
        <v>141</v>
      </c>
      <c r="E8" s="24" t="s">
        <v>138</v>
      </c>
      <c r="F8" s="229" t="s">
        <v>140</v>
      </c>
      <c r="G8" s="230" t="s">
        <v>141</v>
      </c>
      <c r="H8" s="24" t="s">
        <v>138</v>
      </c>
      <c r="I8" s="229" t="s">
        <v>140</v>
      </c>
      <c r="J8" s="230" t="s">
        <v>141</v>
      </c>
      <c r="K8" s="24" t="s">
        <v>138</v>
      </c>
      <c r="L8" s="229" t="s">
        <v>140</v>
      </c>
      <c r="M8" s="230" t="s">
        <v>141</v>
      </c>
      <c r="N8" s="24" t="s">
        <v>138</v>
      </c>
      <c r="O8" s="1511"/>
    </row>
    <row r="9" spans="1:15" ht="15" customHeight="1">
      <c r="A9" s="1518" t="s">
        <v>142</v>
      </c>
      <c r="B9" s="1518"/>
      <c r="C9" s="1519"/>
      <c r="D9" s="1520"/>
      <c r="E9" s="1521"/>
      <c r="F9" s="1522"/>
      <c r="G9" s="1523"/>
      <c r="H9" s="1524"/>
      <c r="I9" s="1519"/>
      <c r="J9" s="1525"/>
      <c r="K9" s="1526"/>
      <c r="L9" s="1519"/>
      <c r="M9" s="1525"/>
      <c r="N9" s="1526"/>
      <c r="O9" s="248"/>
    </row>
    <row r="10" spans="1:15" s="8" customFormat="1" ht="18.95" customHeight="1">
      <c r="A10" s="239">
        <v>1</v>
      </c>
      <c r="B10" s="520" t="s">
        <v>344</v>
      </c>
      <c r="C10" s="25">
        <f>SUM('107 (a)'!C10)*1.1</f>
        <v>29.700000000000003</v>
      </c>
      <c r="D10" s="25">
        <f>SUM('107 (a)'!D10)*1.1</f>
        <v>4.4000000000000004</v>
      </c>
      <c r="E10" s="25">
        <f>SUM('107 (a)'!E10)*1.1</f>
        <v>34.1</v>
      </c>
      <c r="F10" s="25">
        <f>SUM('107 (a)'!F10)*1.1</f>
        <v>9.9</v>
      </c>
      <c r="G10" s="25">
        <f>SUM('107 (a)'!G10)*1.1</f>
        <v>2.2000000000000002</v>
      </c>
      <c r="H10" s="25">
        <f>SUM('107 (a)'!H10)*1.1</f>
        <v>12.100000000000001</v>
      </c>
      <c r="I10" s="25">
        <f>SUM('107 (a)'!I10)*1.1</f>
        <v>19.8</v>
      </c>
      <c r="J10" s="25">
        <f>SUM('107 (a)'!J10)*1.1</f>
        <v>12.100000000000001</v>
      </c>
      <c r="K10" s="25">
        <f>SUM('107 (a)'!K10)*1.1</f>
        <v>31.900000000000002</v>
      </c>
      <c r="L10" s="25">
        <f>SUM('107 (a)'!L10)*1.1</f>
        <v>6.6000000000000005</v>
      </c>
      <c r="M10" s="25">
        <f>SUM('107 (a)'!M10)*1.1</f>
        <v>4.4000000000000004</v>
      </c>
      <c r="N10" s="25">
        <f>SUM('107 (a)'!N10)*1.1</f>
        <v>11</v>
      </c>
      <c r="O10" s="25">
        <f>+E10+H10+K10+N10</f>
        <v>89.100000000000009</v>
      </c>
    </row>
    <row r="11" spans="1:15" s="8" customFormat="1" ht="18.95" customHeight="1">
      <c r="A11" s="240">
        <v>2</v>
      </c>
      <c r="B11" s="520" t="s">
        <v>1137</v>
      </c>
      <c r="C11" s="25">
        <f>SUM('107 (a)'!C11)*1.1</f>
        <v>47.300000000000004</v>
      </c>
      <c r="D11" s="25">
        <f>SUM('107 (a)'!D11)*1.1</f>
        <v>80.300000000000011</v>
      </c>
      <c r="E11" s="25">
        <f>SUM('107 (a)'!E11)*1.1</f>
        <v>127.60000000000001</v>
      </c>
      <c r="F11" s="25">
        <f>SUM('107 (a)'!F11)*1.1</f>
        <v>0</v>
      </c>
      <c r="G11" s="25">
        <f>SUM('107 (a)'!G11)*1.1</f>
        <v>0</v>
      </c>
      <c r="H11" s="25">
        <f>SUM('107 (a)'!H11)*1.1</f>
        <v>0</v>
      </c>
      <c r="I11" s="25">
        <f>SUM('107 (a)'!I11)*1.1</f>
        <v>0</v>
      </c>
      <c r="J11" s="25">
        <f>SUM('107 (a)'!J11)*1.1</f>
        <v>0</v>
      </c>
      <c r="K11" s="25">
        <f>SUM('107 (a)'!K11)*1.1</f>
        <v>0</v>
      </c>
      <c r="L11" s="25">
        <f>SUM('107 (a)'!L11)*1.1</f>
        <v>0</v>
      </c>
      <c r="M11" s="25">
        <f>SUM('107 (a)'!M11)*1.1</f>
        <v>0</v>
      </c>
      <c r="N11" s="25">
        <f>SUM('107 (a)'!N11)*1.1</f>
        <v>0</v>
      </c>
      <c r="O11" s="25">
        <f t="shared" ref="O11:O15" si="0">+E11+H11+K11+N11</f>
        <v>127.60000000000001</v>
      </c>
    </row>
    <row r="12" spans="1:15" s="8" customFormat="1" ht="18.95" customHeight="1">
      <c r="A12" s="240">
        <v>3</v>
      </c>
      <c r="B12" s="520" t="s">
        <v>479</v>
      </c>
      <c r="C12" s="25">
        <f>SUM('107 (a)'!C12)*1.1</f>
        <v>20.900000000000002</v>
      </c>
      <c r="D12" s="25">
        <f>SUM('107 (a)'!D12)*1.1</f>
        <v>34.1</v>
      </c>
      <c r="E12" s="25">
        <f>SUM('107 (a)'!E12)*1.1</f>
        <v>55.000000000000007</v>
      </c>
      <c r="F12" s="25">
        <f>SUM('107 (a)'!F12)*1.1</f>
        <v>30.800000000000004</v>
      </c>
      <c r="G12" s="25">
        <f>SUM('107 (a)'!G12)*1.1</f>
        <v>68.2</v>
      </c>
      <c r="H12" s="25">
        <f>SUM('107 (a)'!H12)*1.1</f>
        <v>99.000000000000014</v>
      </c>
      <c r="I12" s="25">
        <f>SUM('107 (a)'!I12)*1.1</f>
        <v>12.100000000000001</v>
      </c>
      <c r="J12" s="25">
        <f>SUM('107 (a)'!J12)*1.1</f>
        <v>9.9</v>
      </c>
      <c r="K12" s="25">
        <f>SUM('107 (a)'!K12)*1.1</f>
        <v>22</v>
      </c>
      <c r="L12" s="25">
        <f>SUM('107 (a)'!L12)*1.1</f>
        <v>7.7000000000000011</v>
      </c>
      <c r="M12" s="25">
        <f>SUM('107 (a)'!M12)*1.1</f>
        <v>3.3000000000000003</v>
      </c>
      <c r="N12" s="25">
        <f>SUM('107 (a)'!N12)*1.1</f>
        <v>11</v>
      </c>
      <c r="O12" s="25">
        <f t="shared" si="0"/>
        <v>187.00000000000003</v>
      </c>
    </row>
    <row r="13" spans="1:15" s="8" customFormat="1" ht="18.95" customHeight="1">
      <c r="A13" s="240">
        <v>4</v>
      </c>
      <c r="B13" s="520" t="s">
        <v>384</v>
      </c>
      <c r="C13" s="25"/>
      <c r="D13" s="25"/>
      <c r="E13" s="25">
        <f>+C13+D13</f>
        <v>0</v>
      </c>
      <c r="F13" s="25">
        <f>SUM('107 (a)'!F13)*1.1</f>
        <v>13.200000000000001</v>
      </c>
      <c r="G13" s="25">
        <f>SUM('107 (a)'!G13)*1.1</f>
        <v>9.9</v>
      </c>
      <c r="H13" s="25">
        <f>SUM('107 (a)'!H13)*1.1</f>
        <v>23.1</v>
      </c>
      <c r="I13" s="25">
        <f>SUM('107 (a)'!I13)*1.1</f>
        <v>3.3000000000000003</v>
      </c>
      <c r="J13" s="25">
        <f>SUM('107 (a)'!J13)*1.1</f>
        <v>1.1000000000000001</v>
      </c>
      <c r="K13" s="25">
        <f>SUM('107 (a)'!K13)*1.1</f>
        <v>4.4000000000000004</v>
      </c>
      <c r="L13" s="25">
        <f>SUM('107 (a)'!L13)*1.1</f>
        <v>0</v>
      </c>
      <c r="M13" s="25">
        <f>SUM('107 (a)'!M13)*1.1</f>
        <v>1.1000000000000001</v>
      </c>
      <c r="N13" s="25">
        <f>SUM('107 (a)'!N13)*1.1</f>
        <v>1.1000000000000001</v>
      </c>
      <c r="O13" s="25">
        <f t="shared" si="0"/>
        <v>28.6</v>
      </c>
    </row>
    <row r="14" spans="1:15" s="8" customFormat="1" ht="18.95" customHeight="1">
      <c r="A14" s="240">
        <v>5</v>
      </c>
      <c r="B14" s="520" t="s">
        <v>1138</v>
      </c>
      <c r="C14" s="25">
        <f>SUM('107 (a)'!C14)*1.1</f>
        <v>0</v>
      </c>
      <c r="D14" s="25">
        <f>SUM('107 (a)'!D14)*1.1</f>
        <v>0</v>
      </c>
      <c r="E14" s="25">
        <f>SUM('107 (a)'!E14)*1.1</f>
        <v>0</v>
      </c>
      <c r="F14" s="25">
        <f>SUM('107 (a)'!F14)*1.1</f>
        <v>0</v>
      </c>
      <c r="G14" s="25">
        <f>SUM('107 (a)'!G14)*1.1</f>
        <v>0</v>
      </c>
      <c r="H14" s="25">
        <f>SUM('107 (a)'!H14)*1.1</f>
        <v>0</v>
      </c>
      <c r="I14" s="25">
        <f>SUM('107 (a)'!I14)*1.1</f>
        <v>0</v>
      </c>
      <c r="J14" s="25">
        <f>SUM('107 (a)'!J14)*1.1</f>
        <v>0</v>
      </c>
      <c r="K14" s="25">
        <f>SUM('107 (a)'!K14)*1.1</f>
        <v>0</v>
      </c>
      <c r="L14" s="25">
        <f>SUM('107 (a)'!L14)*1.1</f>
        <v>0</v>
      </c>
      <c r="M14" s="25">
        <f>SUM('107 (a)'!M14)*1.1</f>
        <v>0</v>
      </c>
      <c r="N14" s="25">
        <f>SUM('107 (a)'!N14)*1.1</f>
        <v>0</v>
      </c>
      <c r="O14" s="25">
        <f t="shared" si="0"/>
        <v>0</v>
      </c>
    </row>
    <row r="15" spans="1:15" s="8" customFormat="1" ht="18.95" customHeight="1">
      <c r="A15" s="269">
        <v>6</v>
      </c>
      <c r="B15" s="520" t="s">
        <v>411</v>
      </c>
      <c r="C15" s="25">
        <f>SUM('107 (a)'!C15)*1.1</f>
        <v>0</v>
      </c>
      <c r="D15" s="25">
        <f>SUM('107 (a)'!D15)*1.1</f>
        <v>0</v>
      </c>
      <c r="E15" s="25">
        <f>SUM('107 (a)'!E15)*1.1</f>
        <v>0</v>
      </c>
      <c r="F15" s="25">
        <f>SUM('107 (a)'!F15)*1.1</f>
        <v>4.4000000000000004</v>
      </c>
      <c r="G15" s="25">
        <f>SUM('107 (a)'!G15)*1.1</f>
        <v>5.5</v>
      </c>
      <c r="H15" s="25">
        <f>SUM('107 (a)'!H15)*1.1</f>
        <v>9.9</v>
      </c>
      <c r="I15" s="25">
        <f>SUM('107 (a)'!I15)*1.1</f>
        <v>11</v>
      </c>
      <c r="J15" s="25">
        <f>SUM('107 (a)'!J15)*1.1</f>
        <v>3.3000000000000003</v>
      </c>
      <c r="K15" s="25">
        <f>SUM('107 (a)'!K15)*1.1</f>
        <v>14.3</v>
      </c>
      <c r="L15" s="25">
        <f>SUM('107 (a)'!L15)*1.1</f>
        <v>0</v>
      </c>
      <c r="M15" s="25">
        <f>SUM('107 (a)'!M15)*1.1</f>
        <v>0</v>
      </c>
      <c r="N15" s="25">
        <f>SUM('107 (a)'!N15)*1.1</f>
        <v>0</v>
      </c>
      <c r="O15" s="25">
        <f t="shared" si="0"/>
        <v>24.200000000000003</v>
      </c>
    </row>
    <row r="16" spans="1:15" ht="20.100000000000001" customHeight="1">
      <c r="A16" s="1512" t="s">
        <v>893</v>
      </c>
      <c r="B16" s="1513"/>
      <c r="C16" s="231">
        <f>SUM(C10:C15)</f>
        <v>97.9</v>
      </c>
      <c r="D16" s="231">
        <f t="shared" ref="D16" si="1">SUM(D10:D15)</f>
        <v>118.80000000000001</v>
      </c>
      <c r="E16" s="233">
        <f>C16+D16</f>
        <v>216.70000000000002</v>
      </c>
      <c r="F16" s="231">
        <f t="shared" ref="F16:G16" si="2">SUM(F10:F15)</f>
        <v>58.300000000000004</v>
      </c>
      <c r="G16" s="231">
        <f t="shared" si="2"/>
        <v>85.800000000000011</v>
      </c>
      <c r="H16" s="233">
        <f>F16+G16</f>
        <v>144.10000000000002</v>
      </c>
      <c r="I16" s="231">
        <f t="shared" ref="I16:J16" si="3">SUM(I10:I15)</f>
        <v>46.2</v>
      </c>
      <c r="J16" s="231">
        <f t="shared" si="3"/>
        <v>26.400000000000002</v>
      </c>
      <c r="K16" s="233">
        <f>I16+J16</f>
        <v>72.600000000000009</v>
      </c>
      <c r="L16" s="231">
        <f t="shared" ref="L16:M16" si="4">SUM(L10:L15)</f>
        <v>14.3</v>
      </c>
      <c r="M16" s="231">
        <f t="shared" si="4"/>
        <v>8.8000000000000007</v>
      </c>
      <c r="N16" s="233">
        <f>L16+M16</f>
        <v>23.1</v>
      </c>
      <c r="O16" s="249">
        <f>E16+H16+K16+N16</f>
        <v>456.50000000000011</v>
      </c>
    </row>
    <row r="17" spans="1:15" ht="15" customHeight="1">
      <c r="A17" s="1476" t="s">
        <v>147</v>
      </c>
      <c r="B17" s="1478"/>
      <c r="C17" s="27"/>
      <c r="D17" s="27"/>
      <c r="E17" s="28"/>
      <c r="F17" s="27"/>
      <c r="G17" s="27"/>
      <c r="H17" s="28"/>
      <c r="I17" s="27"/>
      <c r="J17" s="27"/>
      <c r="K17" s="28"/>
      <c r="L17" s="27"/>
      <c r="M17" s="27"/>
      <c r="N17" s="28"/>
      <c r="O17" s="27"/>
    </row>
    <row r="18" spans="1:15" s="8" customFormat="1" ht="18.95" customHeight="1">
      <c r="A18" s="239">
        <v>1</v>
      </c>
      <c r="B18" s="520" t="s">
        <v>364</v>
      </c>
      <c r="C18" s="25">
        <f>SUM('107 (a)'!C18)*1.1</f>
        <v>177.10000000000002</v>
      </c>
      <c r="D18" s="25">
        <f>SUM('107 (a)'!D18)*1.1</f>
        <v>81.400000000000006</v>
      </c>
      <c r="E18" s="25">
        <f>SUM('107 (a)'!E18)*1.1</f>
        <v>258.5</v>
      </c>
      <c r="F18" s="25">
        <f>SUM('107 (a)'!F18)*1.1</f>
        <v>48.400000000000006</v>
      </c>
      <c r="G18" s="25">
        <f>SUM('107 (a)'!G18)*1.1</f>
        <v>57.2</v>
      </c>
      <c r="H18" s="25">
        <f>SUM('107 (a)'!H18)*1.1</f>
        <v>105.60000000000001</v>
      </c>
      <c r="I18" s="25">
        <f>SUM('107 (a)'!I18)*1.1</f>
        <v>67.100000000000009</v>
      </c>
      <c r="J18" s="25">
        <f>SUM('107 (a)'!J18)*1.1</f>
        <v>45.1</v>
      </c>
      <c r="K18" s="25">
        <f>SUM('107 (a)'!K18)*1.1</f>
        <v>112.2</v>
      </c>
      <c r="L18" s="25">
        <f>SUM('107 (a)'!L18)*1.1</f>
        <v>45.1</v>
      </c>
      <c r="M18" s="25">
        <f>SUM('107 (a)'!M18)*1.1</f>
        <v>20.900000000000002</v>
      </c>
      <c r="N18" s="25">
        <f>SUM('107 (a)'!N18)*1.1</f>
        <v>66</v>
      </c>
      <c r="O18" s="25">
        <f t="shared" ref="O18:O32" si="5">+E18+H18+K18+N18</f>
        <v>542.29999999999995</v>
      </c>
    </row>
    <row r="19" spans="1:15" s="8" customFormat="1" ht="18.95" customHeight="1">
      <c r="A19" s="240">
        <v>2</v>
      </c>
      <c r="B19" s="520" t="s">
        <v>1139</v>
      </c>
      <c r="C19" s="25">
        <f>SUM('107 (a)'!C19)*1.1</f>
        <v>37.400000000000006</v>
      </c>
      <c r="D19" s="25">
        <f>SUM('107 (a)'!D19)*1.1</f>
        <v>70.400000000000006</v>
      </c>
      <c r="E19" s="25">
        <f>SUM('107 (a)'!E19)*1.1</f>
        <v>107.80000000000001</v>
      </c>
      <c r="F19" s="25">
        <f>SUM('107 (a)'!F19)*1.1</f>
        <v>0</v>
      </c>
      <c r="G19" s="25">
        <f>SUM('107 (a)'!G19)*1.1</f>
        <v>0</v>
      </c>
      <c r="H19" s="25">
        <f>SUM('107 (a)'!H19)*1.1</f>
        <v>0</v>
      </c>
      <c r="I19" s="25">
        <f>SUM('107 (a)'!I19)*1.1</f>
        <v>9.9</v>
      </c>
      <c r="J19" s="25">
        <f>SUM('107 (a)'!J19)*1.1</f>
        <v>12.100000000000001</v>
      </c>
      <c r="K19" s="25">
        <f>SUM('107 (a)'!K19)*1.1</f>
        <v>22</v>
      </c>
      <c r="L19" s="25">
        <f>SUM('107 (a)'!L19)*1.1</f>
        <v>19.8</v>
      </c>
      <c r="M19" s="25">
        <f>SUM('107 (a)'!M19)*1.1</f>
        <v>38.5</v>
      </c>
      <c r="N19" s="25">
        <f>SUM('107 (a)'!N19)*1.1</f>
        <v>58.300000000000004</v>
      </c>
      <c r="O19" s="25">
        <f t="shared" si="5"/>
        <v>188.10000000000002</v>
      </c>
    </row>
    <row r="20" spans="1:15" s="8" customFormat="1" ht="18.95" customHeight="1">
      <c r="A20" s="240">
        <v>3</v>
      </c>
      <c r="B20" s="520" t="s">
        <v>1140</v>
      </c>
      <c r="C20" s="25">
        <f>SUM('107 (a)'!C20)*1.1</f>
        <v>29.700000000000003</v>
      </c>
      <c r="D20" s="25">
        <f>SUM('107 (a)'!D20)*1.1</f>
        <v>4.4000000000000004</v>
      </c>
      <c r="E20" s="25">
        <f>SUM('107 (a)'!E20)*1.1</f>
        <v>34.1</v>
      </c>
      <c r="F20" s="25">
        <f>SUM('107 (a)'!F20)*1.1</f>
        <v>80.300000000000011</v>
      </c>
      <c r="G20" s="25">
        <f>SUM('107 (a)'!G20)*1.1</f>
        <v>16.5</v>
      </c>
      <c r="H20" s="25">
        <f>SUM('107 (a)'!H20)*1.1</f>
        <v>96.800000000000011</v>
      </c>
      <c r="I20" s="25">
        <f>SUM('107 (a)'!I20)*1.1</f>
        <v>0</v>
      </c>
      <c r="J20" s="25">
        <f>SUM('107 (a)'!J20)*1.1</f>
        <v>0</v>
      </c>
      <c r="K20" s="25">
        <f>SUM('107 (a)'!K20)*1.1</f>
        <v>0</v>
      </c>
      <c r="L20" s="25">
        <f>SUM('107 (a)'!L20)*1.1</f>
        <v>0</v>
      </c>
      <c r="M20" s="25">
        <f>SUM('107 (a)'!M20)*1.1</f>
        <v>0</v>
      </c>
      <c r="N20" s="25">
        <f>SUM('107 (a)'!N20)*1.1</f>
        <v>0</v>
      </c>
      <c r="O20" s="25">
        <f t="shared" si="5"/>
        <v>130.9</v>
      </c>
    </row>
    <row r="21" spans="1:15" s="8" customFormat="1" ht="18.95" customHeight="1">
      <c r="A21" s="240">
        <v>4</v>
      </c>
      <c r="B21" s="520" t="s">
        <v>388</v>
      </c>
      <c r="C21" s="25">
        <f>SUM('107 (a)'!C21)*1.1</f>
        <v>135.30000000000001</v>
      </c>
      <c r="D21" s="25">
        <f>SUM('107 (a)'!D21)*1.1</f>
        <v>48.400000000000006</v>
      </c>
      <c r="E21" s="25">
        <f>SUM('107 (a)'!E21)*1.1</f>
        <v>183.70000000000002</v>
      </c>
      <c r="F21" s="25">
        <f>SUM('107 (a)'!F21)*1.1</f>
        <v>95.7</v>
      </c>
      <c r="G21" s="25">
        <f>SUM('107 (a)'!G21)*1.1</f>
        <v>25.3</v>
      </c>
      <c r="H21" s="25">
        <f>SUM('107 (a)'!H21)*1.1</f>
        <v>121.00000000000001</v>
      </c>
      <c r="I21" s="25">
        <f>SUM('107 (a)'!I21)*1.1</f>
        <v>4.4000000000000004</v>
      </c>
      <c r="J21" s="25">
        <f>SUM('107 (a)'!J21)*1.1</f>
        <v>3.3000000000000003</v>
      </c>
      <c r="K21" s="25">
        <f>SUM('107 (a)'!K21)*1.1</f>
        <v>7.7000000000000011</v>
      </c>
      <c r="L21" s="25">
        <f>SUM('107 (a)'!L21)*1.1</f>
        <v>3.3000000000000003</v>
      </c>
      <c r="M21" s="25">
        <f>SUM('107 (a)'!M21)*1.1</f>
        <v>0</v>
      </c>
      <c r="N21" s="25">
        <f>SUM('107 (a)'!N21)*1.1</f>
        <v>3.3000000000000003</v>
      </c>
      <c r="O21" s="25">
        <f t="shared" si="5"/>
        <v>315.70000000000005</v>
      </c>
    </row>
    <row r="22" spans="1:15" s="8" customFormat="1" ht="18.95" customHeight="1">
      <c r="A22" s="240">
        <v>5</v>
      </c>
      <c r="B22" s="520" t="s">
        <v>378</v>
      </c>
      <c r="C22" s="25">
        <f>SUM('107 (a)'!C22)*1.1</f>
        <v>38.5</v>
      </c>
      <c r="D22" s="25">
        <f>SUM('107 (a)'!D22)*1.1</f>
        <v>16.5</v>
      </c>
      <c r="E22" s="25">
        <f>SUM('107 (a)'!E22)*1.1</f>
        <v>55.000000000000007</v>
      </c>
      <c r="F22" s="25">
        <f>SUM('107 (a)'!F22)*1.1</f>
        <v>8.8000000000000007</v>
      </c>
      <c r="G22" s="25">
        <f>SUM('107 (a)'!G22)*1.1</f>
        <v>5.5</v>
      </c>
      <c r="H22" s="25">
        <f>SUM('107 (a)'!H22)*1.1</f>
        <v>14.3</v>
      </c>
      <c r="I22" s="25">
        <f>SUM('107 (a)'!I22)*1.1</f>
        <v>5.5</v>
      </c>
      <c r="J22" s="25">
        <f>SUM('107 (a)'!J22)*1.1</f>
        <v>2.2000000000000002</v>
      </c>
      <c r="K22" s="25">
        <f>SUM('107 (a)'!K22)*1.1</f>
        <v>7.7000000000000011</v>
      </c>
      <c r="L22" s="25">
        <f>SUM('107 (a)'!L22)*1.1</f>
        <v>1.1000000000000001</v>
      </c>
      <c r="M22" s="25">
        <f>SUM('107 (a)'!M22)*1.1</f>
        <v>0</v>
      </c>
      <c r="N22" s="25">
        <f>SUM('107 (a)'!N22)*1.1</f>
        <v>1.1000000000000001</v>
      </c>
      <c r="O22" s="25">
        <f t="shared" si="5"/>
        <v>78.100000000000009</v>
      </c>
    </row>
    <row r="23" spans="1:15" s="8" customFormat="1" ht="18.95" customHeight="1">
      <c r="A23" s="240">
        <v>6</v>
      </c>
      <c r="B23" s="520" t="s">
        <v>1141</v>
      </c>
      <c r="C23" s="25">
        <f>SUM('107 (a)'!C23)*1.1</f>
        <v>103.4</v>
      </c>
      <c r="D23" s="25">
        <f>SUM('107 (a)'!D23)*1.1</f>
        <v>27.500000000000004</v>
      </c>
      <c r="E23" s="25">
        <f>SUM('107 (a)'!E23)*1.1</f>
        <v>130.9</v>
      </c>
      <c r="F23" s="25">
        <f>SUM('107 (a)'!F23)*1.1</f>
        <v>148.5</v>
      </c>
      <c r="G23" s="25">
        <f>SUM('107 (a)'!G23)*1.1</f>
        <v>64.900000000000006</v>
      </c>
      <c r="H23" s="25">
        <f>SUM('107 (a)'!H23)*1.1</f>
        <v>213.4</v>
      </c>
      <c r="I23" s="25">
        <f>SUM('107 (a)'!I23)*1.1</f>
        <v>2.2000000000000002</v>
      </c>
      <c r="J23" s="25">
        <f>SUM('107 (a)'!J23)*1.1</f>
        <v>3.3000000000000003</v>
      </c>
      <c r="K23" s="25">
        <f>SUM('107 (a)'!K23)*1.1</f>
        <v>5.5</v>
      </c>
      <c r="L23" s="25">
        <f>SUM('107 (a)'!L23)*1.1</f>
        <v>5.5</v>
      </c>
      <c r="M23" s="25">
        <f>SUM('107 (a)'!M23)*1.1</f>
        <v>5.5</v>
      </c>
      <c r="N23" s="25">
        <f>SUM('107 (a)'!N23)*1.1</f>
        <v>11</v>
      </c>
      <c r="O23" s="25">
        <f t="shared" si="5"/>
        <v>360.8</v>
      </c>
    </row>
    <row r="24" spans="1:15" s="8" customFormat="1" ht="18.95" customHeight="1">
      <c r="A24" s="240">
        <v>7</v>
      </c>
      <c r="B24" s="520" t="s">
        <v>417</v>
      </c>
      <c r="C24" s="25">
        <f>SUM('107 (a)'!C24)*1.1</f>
        <v>130.9</v>
      </c>
      <c r="D24" s="25">
        <f>SUM('107 (a)'!D24)*1.1</f>
        <v>46.2</v>
      </c>
      <c r="E24" s="25">
        <f>SUM('107 (a)'!E24)*1.1</f>
        <v>177.10000000000002</v>
      </c>
      <c r="F24" s="25">
        <f>SUM('107 (a)'!F24)*1.1</f>
        <v>81.400000000000006</v>
      </c>
      <c r="G24" s="25">
        <f>SUM('107 (a)'!G24)*1.1</f>
        <v>55.000000000000007</v>
      </c>
      <c r="H24" s="25">
        <f>SUM('107 (a)'!H24)*1.1</f>
        <v>136.4</v>
      </c>
      <c r="I24" s="25">
        <f>SUM('107 (a)'!I24)*1.1</f>
        <v>55.000000000000007</v>
      </c>
      <c r="J24" s="25">
        <f>SUM('107 (a)'!J24)*1.1</f>
        <v>33</v>
      </c>
      <c r="K24" s="25">
        <f>SUM('107 (a)'!K24)*1.1</f>
        <v>88</v>
      </c>
      <c r="L24" s="25">
        <f>SUM('107 (a)'!L24)*1.1</f>
        <v>33</v>
      </c>
      <c r="M24" s="25">
        <f>SUM('107 (a)'!M24)*1.1</f>
        <v>0</v>
      </c>
      <c r="N24" s="25">
        <f>SUM('107 (a)'!N24)*1.1</f>
        <v>33</v>
      </c>
      <c r="O24" s="25">
        <f t="shared" si="5"/>
        <v>434.5</v>
      </c>
    </row>
    <row r="25" spans="1:15" s="8" customFormat="1" ht="18.95" customHeight="1">
      <c r="A25" s="240">
        <v>8</v>
      </c>
      <c r="B25" s="520" t="s">
        <v>421</v>
      </c>
      <c r="C25" s="25">
        <f>SUM('107 (a)'!C25)*1.1</f>
        <v>37.400000000000006</v>
      </c>
      <c r="D25" s="25">
        <f>SUM('107 (a)'!D25)*1.1</f>
        <v>150.70000000000002</v>
      </c>
      <c r="E25" s="25">
        <f>SUM('107 (a)'!E25)*1.1</f>
        <v>188.10000000000002</v>
      </c>
      <c r="F25" s="25">
        <f>SUM('107 (a)'!F25)*1.1</f>
        <v>2.2000000000000002</v>
      </c>
      <c r="G25" s="25">
        <f>SUM('107 (a)'!G25)*1.1</f>
        <v>97.9</v>
      </c>
      <c r="H25" s="25">
        <f>SUM('107 (a)'!H25)*1.1</f>
        <v>100.10000000000001</v>
      </c>
      <c r="I25" s="25">
        <f>SUM('107 (a)'!I25)*1.1</f>
        <v>2.2000000000000002</v>
      </c>
      <c r="J25" s="25">
        <f>SUM('107 (a)'!J25)*1.1</f>
        <v>27.500000000000004</v>
      </c>
      <c r="K25" s="25">
        <f>SUM('107 (a)'!K25)*1.1</f>
        <v>29.700000000000003</v>
      </c>
      <c r="L25" s="25">
        <f>SUM('107 (a)'!L25)*1.1</f>
        <v>1.1000000000000001</v>
      </c>
      <c r="M25" s="25">
        <f>SUM('107 (a)'!M25)*1.1</f>
        <v>9.9</v>
      </c>
      <c r="N25" s="25">
        <f>SUM('107 (a)'!N25)*1.1</f>
        <v>11</v>
      </c>
      <c r="O25" s="25">
        <f t="shared" si="5"/>
        <v>328.90000000000003</v>
      </c>
    </row>
    <row r="26" spans="1:15" s="8" customFormat="1" ht="18.95" customHeight="1">
      <c r="A26" s="240">
        <v>9</v>
      </c>
      <c r="B26" s="520" t="s">
        <v>1142</v>
      </c>
      <c r="C26" s="25">
        <f>SUM('107 (a)'!C26)*1.1</f>
        <v>0</v>
      </c>
      <c r="D26" s="25">
        <f>SUM('107 (a)'!D26)*1.1</f>
        <v>0</v>
      </c>
      <c r="E26" s="25">
        <f>SUM('107 (a)'!E26)*1.1</f>
        <v>0</v>
      </c>
      <c r="F26" s="25">
        <f>SUM('107 (a)'!F26)*1.1</f>
        <v>15.400000000000002</v>
      </c>
      <c r="G26" s="25">
        <f>SUM('107 (a)'!G26)*1.1</f>
        <v>3.3000000000000003</v>
      </c>
      <c r="H26" s="25">
        <f>SUM('107 (a)'!H26)*1.1</f>
        <v>18.700000000000003</v>
      </c>
      <c r="I26" s="25">
        <f>SUM('107 (a)'!I26)*1.1</f>
        <v>12.100000000000001</v>
      </c>
      <c r="J26" s="25">
        <f>SUM('107 (a)'!J26)*1.1</f>
        <v>6.6000000000000005</v>
      </c>
      <c r="K26" s="25">
        <f>SUM('107 (a)'!K26)*1.1</f>
        <v>18.700000000000003</v>
      </c>
      <c r="L26" s="25">
        <f>SUM('107 (a)'!L26)*1.1</f>
        <v>0</v>
      </c>
      <c r="M26" s="25">
        <f>SUM('107 (a)'!M26)*1.1</f>
        <v>0</v>
      </c>
      <c r="N26" s="25">
        <f>SUM('107 (a)'!N26)*1.1</f>
        <v>0</v>
      </c>
      <c r="O26" s="25">
        <f t="shared" si="5"/>
        <v>37.400000000000006</v>
      </c>
    </row>
    <row r="27" spans="1:15" s="8" customFormat="1" ht="18.95" customHeight="1">
      <c r="A27" s="240">
        <v>10</v>
      </c>
      <c r="B27" s="520" t="s">
        <v>1143</v>
      </c>
      <c r="C27" s="25">
        <f>SUM('107 (a)'!C27)*1.1</f>
        <v>0</v>
      </c>
      <c r="D27" s="25">
        <f>SUM('107 (a)'!D27)*1.1</f>
        <v>0</v>
      </c>
      <c r="E27" s="25">
        <f>SUM('107 (a)'!E27)*1.1</f>
        <v>0</v>
      </c>
      <c r="F27" s="25">
        <f>SUM('107 (a)'!F27)*1.1</f>
        <v>8.8000000000000007</v>
      </c>
      <c r="G27" s="25">
        <f>SUM('107 (a)'!G27)*1.1</f>
        <v>15.400000000000002</v>
      </c>
      <c r="H27" s="25">
        <f>SUM('107 (a)'!H27)*1.1</f>
        <v>24.200000000000003</v>
      </c>
      <c r="I27" s="25">
        <f>SUM('107 (a)'!I27)*1.1</f>
        <v>13.200000000000001</v>
      </c>
      <c r="J27" s="25">
        <f>SUM('107 (a)'!J27)*1.1</f>
        <v>4.4000000000000004</v>
      </c>
      <c r="K27" s="25">
        <f>SUM('107 (a)'!K27)*1.1</f>
        <v>17.600000000000001</v>
      </c>
      <c r="L27" s="25">
        <f>SUM('107 (a)'!L27)*1.1</f>
        <v>3.3000000000000003</v>
      </c>
      <c r="M27" s="25">
        <f>SUM('107 (a)'!M27)*1.1</f>
        <v>1.1000000000000001</v>
      </c>
      <c r="N27" s="25">
        <f>SUM('107 (a)'!N27)*1.1</f>
        <v>4.4000000000000004</v>
      </c>
      <c r="O27" s="25">
        <f t="shared" si="5"/>
        <v>46.2</v>
      </c>
    </row>
    <row r="28" spans="1:15" s="8" customFormat="1" ht="18.95" customHeight="1">
      <c r="A28" s="240">
        <v>11</v>
      </c>
      <c r="B28" s="520" t="s">
        <v>1144</v>
      </c>
      <c r="C28" s="25">
        <f>SUM('107 (a)'!C28)*1.1</f>
        <v>0</v>
      </c>
      <c r="D28" s="25">
        <f>SUM('107 (a)'!D28)*1.1</f>
        <v>275</v>
      </c>
      <c r="E28" s="25">
        <f>SUM('107 (a)'!E28)*1.1</f>
        <v>275</v>
      </c>
      <c r="F28" s="25">
        <f>SUM('107 (a)'!F28)*1.1</f>
        <v>0</v>
      </c>
      <c r="G28" s="25">
        <f>SUM('107 (a)'!G28)*1.1</f>
        <v>0</v>
      </c>
      <c r="H28" s="25">
        <f>SUM('107 (a)'!H28)*1.1</f>
        <v>0</v>
      </c>
      <c r="I28" s="25">
        <f>SUM('107 (a)'!I28)*1.1</f>
        <v>0</v>
      </c>
      <c r="J28" s="25">
        <f>SUM('107 (a)'!J28)*1.1</f>
        <v>0</v>
      </c>
      <c r="K28" s="25">
        <f>SUM('107 (a)'!K28)*1.1</f>
        <v>0</v>
      </c>
      <c r="L28" s="25">
        <f>SUM('107 (a)'!L28)*1.1</f>
        <v>0</v>
      </c>
      <c r="M28" s="25">
        <f>SUM('107 (a)'!M28)*1.1</f>
        <v>0</v>
      </c>
      <c r="N28" s="25">
        <f>SUM('107 (a)'!N28)*1.1</f>
        <v>0</v>
      </c>
      <c r="O28" s="25">
        <f t="shared" si="5"/>
        <v>275</v>
      </c>
    </row>
    <row r="29" spans="1:15" s="8" customFormat="1" ht="18.95" customHeight="1">
      <c r="A29" s="240">
        <v>12</v>
      </c>
      <c r="B29" s="520" t="s">
        <v>356</v>
      </c>
      <c r="C29" s="25">
        <f>SUM('107 (a)'!C29)*1.1</f>
        <v>0</v>
      </c>
      <c r="D29" s="25">
        <f>SUM('107 (a)'!D29)*1.1</f>
        <v>0</v>
      </c>
      <c r="E29" s="25">
        <f>SUM('107 (a)'!E29)*1.1</f>
        <v>0</v>
      </c>
      <c r="F29" s="25">
        <f>SUM('107 (a)'!F29)*1.1</f>
        <v>93.500000000000014</v>
      </c>
      <c r="G29" s="25">
        <f>SUM('107 (a)'!G29)*1.1</f>
        <v>16.5</v>
      </c>
      <c r="H29" s="25">
        <f>SUM('107 (a)'!H29)*1.1</f>
        <v>110.00000000000001</v>
      </c>
      <c r="I29" s="25">
        <f>SUM('107 (a)'!I29)*1.1</f>
        <v>0</v>
      </c>
      <c r="J29" s="25">
        <f>SUM('107 (a)'!J29)*1.1</f>
        <v>0</v>
      </c>
      <c r="K29" s="25">
        <f>SUM('107 (a)'!K29)*1.1</f>
        <v>0</v>
      </c>
      <c r="L29" s="25">
        <f>SUM('107 (a)'!L29)*1.1</f>
        <v>0</v>
      </c>
      <c r="M29" s="25">
        <f>SUM('107 (a)'!M29)*1.1</f>
        <v>0</v>
      </c>
      <c r="N29" s="25">
        <f>SUM('107 (a)'!N29)*1.1</f>
        <v>0</v>
      </c>
      <c r="O29" s="25">
        <f t="shared" si="5"/>
        <v>110.00000000000001</v>
      </c>
    </row>
    <row r="30" spans="1:15" s="8" customFormat="1" ht="18.95" customHeight="1">
      <c r="A30" s="240">
        <v>13</v>
      </c>
      <c r="B30" s="520" t="s">
        <v>432</v>
      </c>
      <c r="C30" s="25">
        <f>SUM('107 (a)'!C30)*1.1</f>
        <v>103.4</v>
      </c>
      <c r="D30" s="25">
        <f>SUM('107 (a)'!D30)*1.1</f>
        <v>30.800000000000004</v>
      </c>
      <c r="E30" s="25">
        <f>SUM('107 (a)'!E30)*1.1</f>
        <v>134.20000000000002</v>
      </c>
      <c r="F30" s="25">
        <f>SUM('107 (a)'!F30)*1.1</f>
        <v>68.2</v>
      </c>
      <c r="G30" s="25">
        <f>SUM('107 (a)'!G30)*1.1</f>
        <v>40.700000000000003</v>
      </c>
      <c r="H30" s="25">
        <f>SUM('107 (a)'!H30)*1.1</f>
        <v>108.9</v>
      </c>
      <c r="I30" s="25">
        <f>SUM('107 (a)'!I30)*1.1</f>
        <v>11</v>
      </c>
      <c r="J30" s="25">
        <f>SUM('107 (a)'!J30)*1.1</f>
        <v>0</v>
      </c>
      <c r="K30" s="25">
        <f>SUM('107 (a)'!K30)*1.1</f>
        <v>11</v>
      </c>
      <c r="L30" s="25">
        <f>SUM('107 (a)'!L30)*1.1</f>
        <v>4.4000000000000004</v>
      </c>
      <c r="M30" s="25">
        <f>SUM('107 (a)'!M30)*1.1</f>
        <v>0</v>
      </c>
      <c r="N30" s="25">
        <f>SUM('107 (a)'!N30)*1.1</f>
        <v>4.4000000000000004</v>
      </c>
      <c r="O30" s="25">
        <f t="shared" si="5"/>
        <v>258.5</v>
      </c>
    </row>
    <row r="31" spans="1:15" s="8" customFormat="1" ht="18.95" customHeight="1">
      <c r="A31" s="240">
        <v>14</v>
      </c>
      <c r="B31" s="520" t="s">
        <v>434</v>
      </c>
      <c r="C31" s="25">
        <f>SUM('107 (a)'!C31)*1.1</f>
        <v>125.4</v>
      </c>
      <c r="D31" s="25">
        <f>SUM('107 (a)'!D31)*1.1</f>
        <v>64.900000000000006</v>
      </c>
      <c r="E31" s="25">
        <f>SUM('107 (a)'!E31)*1.1</f>
        <v>190.3</v>
      </c>
      <c r="F31" s="25">
        <f>SUM('107 (a)'!F31)*1.1</f>
        <v>33</v>
      </c>
      <c r="G31" s="25">
        <f>SUM('107 (a)'!G31)*1.1</f>
        <v>56.1</v>
      </c>
      <c r="H31" s="25">
        <f>SUM('107 (a)'!H31)*1.1</f>
        <v>89.100000000000009</v>
      </c>
      <c r="I31" s="25">
        <f>SUM('107 (a)'!I31)*1.1</f>
        <v>42.900000000000006</v>
      </c>
      <c r="J31" s="25">
        <f>SUM('107 (a)'!J31)*1.1</f>
        <v>13.200000000000001</v>
      </c>
      <c r="K31" s="25">
        <f>SUM('107 (a)'!K31)*1.1</f>
        <v>56.1</v>
      </c>
      <c r="L31" s="25">
        <f>SUM('107 (a)'!L31)*1.1</f>
        <v>39.6</v>
      </c>
      <c r="M31" s="25">
        <f>SUM('107 (a)'!M31)*1.1</f>
        <v>4.4000000000000004</v>
      </c>
      <c r="N31" s="25">
        <f>SUM('107 (a)'!N31)*1.1</f>
        <v>44</v>
      </c>
      <c r="O31" s="25">
        <f t="shared" si="5"/>
        <v>379.50000000000006</v>
      </c>
    </row>
    <row r="32" spans="1:15" s="8" customFormat="1" ht="18.95" customHeight="1">
      <c r="A32" s="240">
        <v>15</v>
      </c>
      <c r="B32" s="520" t="s">
        <v>1184</v>
      </c>
      <c r="C32" s="25">
        <f>SUM('107 (a)'!C32)*1.1</f>
        <v>0</v>
      </c>
      <c r="D32" s="25">
        <f>SUM('107 (a)'!D32)*1.1</f>
        <v>0</v>
      </c>
      <c r="E32" s="25">
        <f>SUM('107 (a)'!E32)*1.1</f>
        <v>0</v>
      </c>
      <c r="F32" s="25">
        <f>SUM('107 (a)'!F32)*1.1</f>
        <v>403.70000000000005</v>
      </c>
      <c r="G32" s="25">
        <f>SUM('107 (a)'!G32)*1.1</f>
        <v>310.20000000000005</v>
      </c>
      <c r="H32" s="25">
        <f>SUM('107 (a)'!H32)*1.1</f>
        <v>713.90000000000009</v>
      </c>
      <c r="I32" s="25">
        <f>SUM('107 (a)'!I32)*1.1</f>
        <v>0</v>
      </c>
      <c r="J32" s="25">
        <f>SUM('107 (a)'!J32)*1.1</f>
        <v>0</v>
      </c>
      <c r="K32" s="25">
        <f>SUM('107 (a)'!K32)*1.1</f>
        <v>0</v>
      </c>
      <c r="L32" s="25">
        <f>SUM('107 (a)'!L32)*1.1</f>
        <v>0</v>
      </c>
      <c r="M32" s="25">
        <f>SUM('107 (a)'!M32)*1.1</f>
        <v>0</v>
      </c>
      <c r="N32" s="25">
        <f>SUM('107 (a)'!N32)*1.1</f>
        <v>0</v>
      </c>
      <c r="O32" s="25">
        <f t="shared" si="5"/>
        <v>713.90000000000009</v>
      </c>
    </row>
    <row r="33" spans="1:15" ht="20.100000000000001" customHeight="1">
      <c r="A33" s="1512" t="s">
        <v>893</v>
      </c>
      <c r="B33" s="1513"/>
      <c r="C33" s="231">
        <f>SUM(C18:C32)</f>
        <v>918.5</v>
      </c>
      <c r="D33" s="231">
        <f t="shared" ref="D33" si="6">SUM(D18:D32)</f>
        <v>816.19999999999993</v>
      </c>
      <c r="E33" s="233">
        <f>C33+D33</f>
        <v>1734.6999999999998</v>
      </c>
      <c r="F33" s="231">
        <f t="shared" ref="F33:G33" si="7">SUM(F18:F32)</f>
        <v>1087.9000000000001</v>
      </c>
      <c r="G33" s="231">
        <f t="shared" si="7"/>
        <v>764.5</v>
      </c>
      <c r="H33" s="233">
        <f>F33+G33</f>
        <v>1852.4</v>
      </c>
      <c r="I33" s="231">
        <f t="shared" ref="I33:J33" si="8">SUM(I18:I32)</f>
        <v>225.5</v>
      </c>
      <c r="J33" s="231">
        <f t="shared" si="8"/>
        <v>150.69999999999999</v>
      </c>
      <c r="K33" s="233">
        <f>I33+J33</f>
        <v>376.2</v>
      </c>
      <c r="L33" s="231">
        <f t="shared" ref="L33:M33" si="9">SUM(L18:L32)</f>
        <v>156.19999999999999</v>
      </c>
      <c r="M33" s="231">
        <f t="shared" si="9"/>
        <v>80.300000000000011</v>
      </c>
      <c r="N33" s="233">
        <f>L33+M33</f>
        <v>236.5</v>
      </c>
      <c r="O33" s="249">
        <f>E33+H33+K33+N33</f>
        <v>4199.7999999999993</v>
      </c>
    </row>
    <row r="34" spans="1:15" ht="15" customHeight="1">
      <c r="A34" s="1518" t="s">
        <v>1145</v>
      </c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</row>
    <row r="35" spans="1:15" s="8" customFormat="1" ht="18.95" customHeight="1">
      <c r="A35" s="239">
        <v>1</v>
      </c>
      <c r="B35" s="520" t="s">
        <v>457</v>
      </c>
      <c r="C35" s="25">
        <f>SUM('107 (a)'!C35)*1.1</f>
        <v>0</v>
      </c>
      <c r="D35" s="25">
        <f>SUM('107 (a)'!D35)*1.1</f>
        <v>0</v>
      </c>
      <c r="E35" s="25">
        <f>SUM('107 (a)'!E35)*1.1</f>
        <v>0</v>
      </c>
      <c r="F35" s="25">
        <f>SUM('107 (a)'!F35)*1.1</f>
        <v>5.5</v>
      </c>
      <c r="G35" s="25">
        <f>SUM('107 (a)'!G35)*1.1</f>
        <v>19.8</v>
      </c>
      <c r="H35" s="25">
        <f>SUM('107 (a)'!H35)*1.1</f>
        <v>25.3</v>
      </c>
      <c r="I35" s="25">
        <f>SUM('107 (a)'!I35)*1.1</f>
        <v>41.800000000000004</v>
      </c>
      <c r="J35" s="25">
        <f>SUM('107 (a)'!J35)*1.1</f>
        <v>9.9</v>
      </c>
      <c r="K35" s="25">
        <f>SUM('107 (a)'!K35)*1.1</f>
        <v>51.7</v>
      </c>
      <c r="L35" s="25">
        <f>SUM('107 (a)'!L35)*1.1</f>
        <v>23.1</v>
      </c>
      <c r="M35" s="25">
        <f>SUM('107 (a)'!M35)*1.1</f>
        <v>3.3000000000000003</v>
      </c>
      <c r="N35" s="25">
        <f>SUM('107 (a)'!N35)*1.1</f>
        <v>26.400000000000002</v>
      </c>
      <c r="O35" s="25">
        <f t="shared" ref="O35:O41" si="10">+E35+H35+K35+N35</f>
        <v>103.4</v>
      </c>
    </row>
    <row r="36" spans="1:15" s="8" customFormat="1" ht="18.95" customHeight="1">
      <c r="A36" s="240">
        <v>2</v>
      </c>
      <c r="B36" s="520" t="s">
        <v>1146</v>
      </c>
      <c r="C36" s="25">
        <f>SUM('107 (a)'!C36)*1.1</f>
        <v>16.5</v>
      </c>
      <c r="D36" s="25">
        <f>SUM('107 (a)'!D36)*1.1</f>
        <v>22</v>
      </c>
      <c r="E36" s="25">
        <f>SUM('107 (a)'!E36)*1.1</f>
        <v>38.5</v>
      </c>
      <c r="F36" s="25">
        <f>SUM('107 (a)'!F36)*1.1</f>
        <v>22</v>
      </c>
      <c r="G36" s="25">
        <f>SUM('107 (a)'!G36)*1.1</f>
        <v>41.800000000000004</v>
      </c>
      <c r="H36" s="25">
        <f>SUM('107 (a)'!H36)*1.1</f>
        <v>63.800000000000004</v>
      </c>
      <c r="I36" s="25">
        <f>SUM('107 (a)'!I36)*1.1</f>
        <v>3.3000000000000003</v>
      </c>
      <c r="J36" s="25">
        <f>SUM('107 (a)'!J36)*1.1</f>
        <v>2.2000000000000002</v>
      </c>
      <c r="K36" s="25">
        <f>SUM('107 (a)'!K36)*1.1</f>
        <v>5.5</v>
      </c>
      <c r="L36" s="25">
        <f>SUM('107 (a)'!L36)*1.1</f>
        <v>2.2000000000000002</v>
      </c>
      <c r="M36" s="25">
        <f>SUM('107 (a)'!M36)*1.1</f>
        <v>0</v>
      </c>
      <c r="N36" s="25">
        <f>SUM('107 (a)'!N36)*1.1</f>
        <v>2.2000000000000002</v>
      </c>
      <c r="O36" s="25">
        <f t="shared" si="10"/>
        <v>110.00000000000001</v>
      </c>
    </row>
    <row r="37" spans="1:15" s="8" customFormat="1" ht="18.95" customHeight="1">
      <c r="A37" s="240">
        <v>3</v>
      </c>
      <c r="B37" s="520" t="s">
        <v>1147</v>
      </c>
      <c r="C37" s="25">
        <f>SUM('107 (a)'!C37)*1.1</f>
        <v>0</v>
      </c>
      <c r="D37" s="25">
        <f>SUM('107 (a)'!D37)*1.1</f>
        <v>0</v>
      </c>
      <c r="E37" s="25">
        <f>SUM('107 (a)'!E37)*1.1</f>
        <v>0</v>
      </c>
      <c r="F37" s="25">
        <f>SUM('107 (a)'!F37)*1.1</f>
        <v>27.500000000000004</v>
      </c>
      <c r="G37" s="25">
        <f>SUM('107 (a)'!G37)*1.1</f>
        <v>8.8000000000000007</v>
      </c>
      <c r="H37" s="25">
        <f>SUM('107 (a)'!H37)*1.1</f>
        <v>36.300000000000004</v>
      </c>
      <c r="I37" s="25">
        <f>SUM('107 (a)'!I37)*1.1</f>
        <v>17.600000000000001</v>
      </c>
      <c r="J37" s="25">
        <f>SUM('107 (a)'!J37)*1.1</f>
        <v>11</v>
      </c>
      <c r="K37" s="25">
        <f>SUM('107 (a)'!K37)*1.1</f>
        <v>28.6</v>
      </c>
      <c r="L37" s="25">
        <f>SUM('107 (a)'!L37)*1.1</f>
        <v>0</v>
      </c>
      <c r="M37" s="25">
        <f>SUM('107 (a)'!M37)*1.1</f>
        <v>0</v>
      </c>
      <c r="N37" s="25">
        <f>SUM('107 (a)'!N37)*1.1</f>
        <v>0</v>
      </c>
      <c r="O37" s="25">
        <f t="shared" si="10"/>
        <v>64.900000000000006</v>
      </c>
    </row>
    <row r="38" spans="1:15" s="8" customFormat="1" ht="18.95" customHeight="1">
      <c r="A38" s="240">
        <v>4</v>
      </c>
      <c r="B38" s="520" t="s">
        <v>1148</v>
      </c>
      <c r="C38" s="25">
        <f>SUM('107 (a)'!C38)*1.1</f>
        <v>0</v>
      </c>
      <c r="D38" s="25">
        <f>SUM('107 (a)'!D38)*1.1</f>
        <v>0</v>
      </c>
      <c r="E38" s="25">
        <f>SUM('107 (a)'!E38)*1.1</f>
        <v>0</v>
      </c>
      <c r="F38" s="25">
        <f>SUM('107 (a)'!F38)*1.1</f>
        <v>0</v>
      </c>
      <c r="G38" s="25">
        <f>SUM('107 (a)'!G38)*1.1</f>
        <v>0</v>
      </c>
      <c r="H38" s="25">
        <f>SUM('107 (a)'!H38)*1.1</f>
        <v>0</v>
      </c>
      <c r="I38" s="25">
        <f>SUM('107 (a)'!I38)*1.1</f>
        <v>61.600000000000009</v>
      </c>
      <c r="J38" s="25">
        <f>SUM('107 (a)'!J38)*1.1</f>
        <v>5.5</v>
      </c>
      <c r="K38" s="25">
        <f>SUM('107 (a)'!K38)*1.1</f>
        <v>67.100000000000009</v>
      </c>
      <c r="L38" s="25">
        <f>SUM('107 (a)'!L38)*1.1</f>
        <v>60.500000000000007</v>
      </c>
      <c r="M38" s="25">
        <f>SUM('107 (a)'!M38)*1.1</f>
        <v>12.100000000000001</v>
      </c>
      <c r="N38" s="25">
        <f>SUM('107 (a)'!N38)*1.1</f>
        <v>72.600000000000009</v>
      </c>
      <c r="O38" s="25">
        <f t="shared" si="10"/>
        <v>139.70000000000002</v>
      </c>
    </row>
    <row r="39" spans="1:15" s="8" customFormat="1" ht="18.95" customHeight="1">
      <c r="A39" s="240">
        <v>5</v>
      </c>
      <c r="B39" s="520" t="s">
        <v>513</v>
      </c>
      <c r="C39" s="25">
        <f>SUM('107 (a)'!C39)*1.1</f>
        <v>0</v>
      </c>
      <c r="D39" s="25">
        <f>SUM('107 (a)'!D39)*1.1</f>
        <v>0</v>
      </c>
      <c r="E39" s="25">
        <f>SUM('107 (a)'!E39)*1.1</f>
        <v>0</v>
      </c>
      <c r="F39" s="25">
        <f>SUM('107 (a)'!F39)*1.1</f>
        <v>3.3000000000000003</v>
      </c>
      <c r="G39" s="25">
        <f>SUM('107 (a)'!G39)*1.1</f>
        <v>1.1000000000000001</v>
      </c>
      <c r="H39" s="25">
        <f>SUM('107 (a)'!H39)*1.1</f>
        <v>4.4000000000000004</v>
      </c>
      <c r="I39" s="25">
        <f>SUM('107 (a)'!I39)*1.1</f>
        <v>0</v>
      </c>
      <c r="J39" s="25">
        <f>SUM('107 (a)'!J39)*1.1</f>
        <v>0</v>
      </c>
      <c r="K39" s="25">
        <f>SUM('107 (a)'!K39)*1.1</f>
        <v>0</v>
      </c>
      <c r="L39" s="25">
        <f>SUM('107 (a)'!L39)*1.1</f>
        <v>0</v>
      </c>
      <c r="M39" s="25">
        <f>SUM('107 (a)'!M39)*1.1</f>
        <v>1.1000000000000001</v>
      </c>
      <c r="N39" s="25">
        <f>SUM('107 (a)'!N39)*1.1</f>
        <v>1.1000000000000001</v>
      </c>
      <c r="O39" s="25">
        <f t="shared" si="10"/>
        <v>5.5</v>
      </c>
    </row>
    <row r="40" spans="1:15" s="8" customFormat="1" ht="18.95" customHeight="1">
      <c r="A40" s="240">
        <v>6</v>
      </c>
      <c r="B40" s="790" t="s">
        <v>427</v>
      </c>
      <c r="C40" s="25">
        <f>SUM('107 (a)'!C40)*1.1</f>
        <v>0</v>
      </c>
      <c r="D40" s="25">
        <f>SUM('107 (a)'!D40)*1.1</f>
        <v>0</v>
      </c>
      <c r="E40" s="25">
        <f>SUM('107 (a)'!E40)*1.1</f>
        <v>0</v>
      </c>
      <c r="F40" s="25">
        <f>SUM('107 (a)'!F40)*1.1</f>
        <v>0</v>
      </c>
      <c r="G40" s="25">
        <f>SUM('107 (a)'!G40)*1.1</f>
        <v>0</v>
      </c>
      <c r="H40" s="25">
        <f>SUM('107 (a)'!H40)*1.1</f>
        <v>0</v>
      </c>
      <c r="I40" s="25">
        <v>7</v>
      </c>
      <c r="J40" s="25">
        <v>3</v>
      </c>
      <c r="K40" s="25">
        <f>SUM('107 (a)'!K40)*1.1</f>
        <v>0</v>
      </c>
      <c r="L40" s="25">
        <v>19</v>
      </c>
      <c r="M40" s="25">
        <v>2</v>
      </c>
      <c r="N40" s="25">
        <f>SUM('107 (a)'!N40)*1.1</f>
        <v>20.900000000000002</v>
      </c>
      <c r="O40" s="25">
        <f t="shared" si="10"/>
        <v>20.900000000000002</v>
      </c>
    </row>
    <row r="41" spans="1:15" s="8" customFormat="1" ht="18.95" customHeight="1">
      <c r="A41" s="240">
        <v>7</v>
      </c>
      <c r="B41" s="520" t="s">
        <v>1149</v>
      </c>
      <c r="C41" s="25">
        <f>SUM('107 (a)'!C41)*1.1</f>
        <v>82.5</v>
      </c>
      <c r="D41" s="25">
        <f>SUM('107 (a)'!D41)*1.1</f>
        <v>15.400000000000002</v>
      </c>
      <c r="E41" s="25">
        <f>SUM('107 (a)'!E41)*1.1</f>
        <v>97.9</v>
      </c>
      <c r="F41" s="25">
        <f>SUM('107 (a)'!F41)*1.1</f>
        <v>60.500000000000007</v>
      </c>
      <c r="G41" s="25">
        <f>SUM('107 (a)'!G41)*1.1</f>
        <v>29.700000000000003</v>
      </c>
      <c r="H41" s="25">
        <f>SUM('107 (a)'!H41)*1.1</f>
        <v>90.2</v>
      </c>
      <c r="I41" s="25">
        <f>SUM('107 (a)'!I41)*1.1</f>
        <v>22</v>
      </c>
      <c r="J41" s="25">
        <f>SUM('107 (a)'!J41)*1.1</f>
        <v>7.7000000000000011</v>
      </c>
      <c r="K41" s="25">
        <f>SUM('107 (a)'!K41)*1.1</f>
        <v>29.700000000000003</v>
      </c>
      <c r="L41" s="25">
        <f>SUM('107 (a)'!L41)*1.1</f>
        <v>38.5</v>
      </c>
      <c r="M41" s="25">
        <f>SUM('107 (a)'!M41)*1.1</f>
        <v>12.100000000000001</v>
      </c>
      <c r="N41" s="25">
        <f>SUM('107 (a)'!N41)*1.1</f>
        <v>50.6</v>
      </c>
      <c r="O41" s="25">
        <f t="shared" si="10"/>
        <v>268.40000000000003</v>
      </c>
    </row>
    <row r="42" spans="1:15" ht="20.100000000000001" customHeight="1">
      <c r="A42" s="1512" t="s">
        <v>893</v>
      </c>
      <c r="B42" s="1513"/>
      <c r="C42" s="231">
        <f>SUM(C35:C41)</f>
        <v>99</v>
      </c>
      <c r="D42" s="231">
        <f t="shared" ref="D42" si="11">SUM(D35:D41)</f>
        <v>37.400000000000006</v>
      </c>
      <c r="E42" s="233">
        <f>C42+D42</f>
        <v>136.4</v>
      </c>
      <c r="F42" s="231">
        <f t="shared" ref="F42:G42" si="12">SUM(F35:F41)</f>
        <v>118.80000000000001</v>
      </c>
      <c r="G42" s="231">
        <f t="shared" si="12"/>
        <v>101.2</v>
      </c>
      <c r="H42" s="233">
        <f>F42+G42</f>
        <v>220</v>
      </c>
      <c r="I42" s="231">
        <f t="shared" ref="I42:J42" si="13">SUM(I35:I41)</f>
        <v>153.30000000000001</v>
      </c>
      <c r="J42" s="231">
        <f t="shared" si="13"/>
        <v>39.300000000000004</v>
      </c>
      <c r="K42" s="233">
        <f>I42+J42</f>
        <v>192.60000000000002</v>
      </c>
      <c r="L42" s="231">
        <f t="shared" ref="L42:M42" si="14">SUM(L35:L41)</f>
        <v>143.30000000000001</v>
      </c>
      <c r="M42" s="231">
        <f t="shared" si="14"/>
        <v>30.600000000000005</v>
      </c>
      <c r="N42" s="233">
        <f>L42+M42</f>
        <v>173.9</v>
      </c>
      <c r="O42" s="249">
        <f>E42+H42+K42+N42</f>
        <v>722.9</v>
      </c>
    </row>
    <row r="43" spans="1:15" ht="15" customHeight="1">
      <c r="A43" s="1518" t="s">
        <v>1150</v>
      </c>
      <c r="B43" s="1518"/>
      <c r="C43" s="1518"/>
      <c r="D43" s="1518"/>
      <c r="E43" s="1518"/>
      <c r="F43" s="1518"/>
      <c r="G43" s="1518"/>
      <c r="H43" s="1518"/>
      <c r="I43" s="1518"/>
      <c r="J43" s="1518"/>
      <c r="K43" s="1518"/>
      <c r="L43" s="1518"/>
      <c r="M43" s="1518"/>
      <c r="N43" s="1518"/>
      <c r="O43" s="1518"/>
    </row>
    <row r="44" spans="1:15" s="8" customFormat="1" ht="18.95" customHeight="1">
      <c r="A44" s="239">
        <v>1</v>
      </c>
      <c r="B44" s="520" t="s">
        <v>537</v>
      </c>
      <c r="C44" s="25">
        <f>SUM('107 (a)'!C44)*1.1</f>
        <v>198.00000000000003</v>
      </c>
      <c r="D44" s="25">
        <f>SUM('107 (a)'!D44)*1.1</f>
        <v>29.700000000000003</v>
      </c>
      <c r="E44" s="25">
        <f>SUM('107 (a)'!E44)*1.1</f>
        <v>227.70000000000002</v>
      </c>
      <c r="F44" s="25">
        <f>SUM('107 (a)'!F44)*1.1</f>
        <v>44</v>
      </c>
      <c r="G44" s="25">
        <f>SUM('107 (a)'!G44)*1.1</f>
        <v>11</v>
      </c>
      <c r="H44" s="25">
        <f>SUM('107 (a)'!H44)*1.1</f>
        <v>55.000000000000007</v>
      </c>
      <c r="I44" s="25">
        <f>SUM('107 (a)'!I44)*1.1</f>
        <v>58.300000000000004</v>
      </c>
      <c r="J44" s="25">
        <f>SUM('107 (a)'!J44)*1.1</f>
        <v>6.6000000000000005</v>
      </c>
      <c r="K44" s="25">
        <f>SUM('107 (a)'!K44)*1.1</f>
        <v>64.900000000000006</v>
      </c>
      <c r="L44" s="25">
        <f>SUM('107 (a)'!L44)*1.1</f>
        <v>25.3</v>
      </c>
      <c r="M44" s="25">
        <f>SUM('107 (a)'!M44)*1.1</f>
        <v>5.5</v>
      </c>
      <c r="N44" s="25">
        <f>SUM('107 (a)'!N44)*1.1</f>
        <v>30.800000000000004</v>
      </c>
      <c r="O44" s="25">
        <f t="shared" ref="O44:O48" si="15">+E44+H44+K44+N44</f>
        <v>378.40000000000003</v>
      </c>
    </row>
    <row r="45" spans="1:15" s="8" customFormat="1" ht="18.95" customHeight="1">
      <c r="A45" s="240">
        <v>2</v>
      </c>
      <c r="B45" s="520" t="s">
        <v>1151</v>
      </c>
      <c r="C45" s="25">
        <f>SUM('107 (a)'!C45)*1.1</f>
        <v>124.30000000000001</v>
      </c>
      <c r="D45" s="25">
        <f>SUM('107 (a)'!D45)*1.1</f>
        <v>36.300000000000004</v>
      </c>
      <c r="E45" s="25">
        <f>SUM('107 (a)'!E45)*1.1</f>
        <v>160.60000000000002</v>
      </c>
      <c r="F45" s="25">
        <f>SUM('107 (a)'!F45)*1.1</f>
        <v>79.2</v>
      </c>
      <c r="G45" s="25">
        <f>SUM('107 (a)'!G45)*1.1</f>
        <v>24.200000000000003</v>
      </c>
      <c r="H45" s="25">
        <f>SUM('107 (a)'!H45)*1.1</f>
        <v>103.4</v>
      </c>
      <c r="I45" s="25">
        <f>SUM('107 (a)'!I45)*1.1</f>
        <v>45.1</v>
      </c>
      <c r="J45" s="25">
        <f>SUM('107 (a)'!J45)*1.1</f>
        <v>26.400000000000002</v>
      </c>
      <c r="K45" s="25">
        <f>SUM('107 (a)'!K45)*1.1</f>
        <v>71.5</v>
      </c>
      <c r="L45" s="25">
        <f>SUM('107 (a)'!L45)*1.1</f>
        <v>33</v>
      </c>
      <c r="M45" s="25">
        <f>SUM('107 (a)'!M45)*1.1</f>
        <v>7.7000000000000011</v>
      </c>
      <c r="N45" s="25">
        <f>SUM('107 (a)'!N45)*1.1</f>
        <v>40.700000000000003</v>
      </c>
      <c r="O45" s="25">
        <f t="shared" si="15"/>
        <v>376.2</v>
      </c>
    </row>
    <row r="46" spans="1:15" s="8" customFormat="1" ht="18.95" customHeight="1">
      <c r="A46" s="240">
        <v>3</v>
      </c>
      <c r="B46" s="520" t="s">
        <v>504</v>
      </c>
      <c r="C46" s="25">
        <f>SUM('107 (a)'!C46)*1.1</f>
        <v>148.5</v>
      </c>
      <c r="D46" s="25">
        <f>SUM('107 (a)'!D46)*1.1</f>
        <v>27.500000000000004</v>
      </c>
      <c r="E46" s="25">
        <f>SUM('107 (a)'!E46)*1.1</f>
        <v>176</v>
      </c>
      <c r="F46" s="25">
        <f>SUM('107 (a)'!F46)*1.1</f>
        <v>123.20000000000002</v>
      </c>
      <c r="G46" s="25">
        <f>SUM('107 (a)'!G46)*1.1</f>
        <v>8.8000000000000007</v>
      </c>
      <c r="H46" s="25">
        <f>SUM('107 (a)'!H46)*1.1</f>
        <v>132</v>
      </c>
      <c r="I46" s="25">
        <f>SUM('107 (a)'!I46)*1.1</f>
        <v>117.7</v>
      </c>
      <c r="J46" s="25">
        <f>SUM('107 (a)'!J46)*1.1</f>
        <v>33</v>
      </c>
      <c r="K46" s="25">
        <f>SUM('107 (a)'!K46)*1.1</f>
        <v>150.70000000000002</v>
      </c>
      <c r="L46" s="25">
        <f>SUM('107 (a)'!L46)*1.1</f>
        <v>34.1</v>
      </c>
      <c r="M46" s="25">
        <f>SUM('107 (a)'!M46)*1.1</f>
        <v>9.9</v>
      </c>
      <c r="N46" s="25">
        <f>SUM('107 (a)'!N46)*1.1</f>
        <v>44</v>
      </c>
      <c r="O46" s="25">
        <f t="shared" si="15"/>
        <v>502.70000000000005</v>
      </c>
    </row>
    <row r="47" spans="1:15" s="8" customFormat="1" ht="18.95" customHeight="1">
      <c r="A47" s="240">
        <v>4</v>
      </c>
      <c r="B47" s="520" t="s">
        <v>516</v>
      </c>
      <c r="C47" s="25">
        <f>SUM('107 (a)'!C47)*1.1</f>
        <v>77</v>
      </c>
      <c r="D47" s="25">
        <f>SUM('107 (a)'!D47)*1.1</f>
        <v>18.700000000000003</v>
      </c>
      <c r="E47" s="25">
        <f>SUM('107 (a)'!E47)*1.1</f>
        <v>95.7</v>
      </c>
      <c r="F47" s="25">
        <f>SUM('107 (a)'!F47)*1.1</f>
        <v>39.6</v>
      </c>
      <c r="G47" s="25">
        <f>SUM('107 (a)'!G47)*1.1</f>
        <v>24.200000000000003</v>
      </c>
      <c r="H47" s="25">
        <f>SUM('107 (a)'!H47)*1.1</f>
        <v>63.800000000000004</v>
      </c>
      <c r="I47" s="25">
        <f>SUM('107 (a)'!I47)*1.1</f>
        <v>22</v>
      </c>
      <c r="J47" s="25">
        <f>SUM('107 (a)'!J47)*1.1</f>
        <v>16.5</v>
      </c>
      <c r="K47" s="25">
        <f>SUM('107 (a)'!K47)*1.1</f>
        <v>38.5</v>
      </c>
      <c r="L47" s="25">
        <f>SUM('107 (a)'!L47)*1.1</f>
        <v>13.200000000000001</v>
      </c>
      <c r="M47" s="25">
        <f>SUM('107 (a)'!M47)*1.1</f>
        <v>3.3000000000000003</v>
      </c>
      <c r="N47" s="25">
        <f>SUM('107 (a)'!N47)*1.1</f>
        <v>16.5</v>
      </c>
      <c r="O47" s="25">
        <f t="shared" si="15"/>
        <v>214.5</v>
      </c>
    </row>
    <row r="48" spans="1:15" s="8" customFormat="1" ht="18.95" customHeight="1">
      <c r="A48" s="240">
        <v>5</v>
      </c>
      <c r="B48" s="520" t="s">
        <v>470</v>
      </c>
      <c r="C48" s="25">
        <f>SUM('107 (a)'!C48)*1.1</f>
        <v>167.20000000000002</v>
      </c>
      <c r="D48" s="25">
        <f>SUM('107 (a)'!D48)*1.1</f>
        <v>19.8</v>
      </c>
      <c r="E48" s="25">
        <f>SUM('107 (a)'!E48)*1.1</f>
        <v>187.00000000000003</v>
      </c>
      <c r="F48" s="25">
        <f>SUM('107 (a)'!F48)*1.1</f>
        <v>53.900000000000006</v>
      </c>
      <c r="G48" s="25">
        <f>SUM('107 (a)'!G48)*1.1</f>
        <v>5.5</v>
      </c>
      <c r="H48" s="25">
        <f>SUM('107 (a)'!H48)*1.1</f>
        <v>59.400000000000006</v>
      </c>
      <c r="I48" s="25">
        <f>SUM('107 (a)'!I48)*1.1</f>
        <v>53.900000000000006</v>
      </c>
      <c r="J48" s="25">
        <f>SUM('107 (a)'!J48)*1.1</f>
        <v>5.5</v>
      </c>
      <c r="K48" s="25">
        <f>SUM('107 (a)'!K48)*1.1</f>
        <v>59.400000000000006</v>
      </c>
      <c r="L48" s="25">
        <f>SUM('107 (a)'!L48)*1.1</f>
        <v>12.100000000000001</v>
      </c>
      <c r="M48" s="25">
        <f>SUM('107 (a)'!M48)*1.1</f>
        <v>0</v>
      </c>
      <c r="N48" s="25">
        <f>SUM('107 (a)'!N48)*1.1</f>
        <v>12.100000000000001</v>
      </c>
      <c r="O48" s="25">
        <f t="shared" si="15"/>
        <v>317.90000000000009</v>
      </c>
    </row>
    <row r="49" spans="1:15" s="8" customFormat="1" ht="18.95" customHeight="1">
      <c r="A49" s="269">
        <v>6</v>
      </c>
      <c r="B49" s="243"/>
      <c r="C49" s="25">
        <f>SUM('107 (a)'!C49)*1.1</f>
        <v>0</v>
      </c>
      <c r="D49" s="25">
        <f>SUM('107 (a)'!D49)*1.1</f>
        <v>0</v>
      </c>
      <c r="E49" s="25">
        <f>SUM('107 (a)'!E49)*1.1</f>
        <v>0</v>
      </c>
      <c r="F49" s="25">
        <f>SUM('107 (a)'!F49)*1.1</f>
        <v>0</v>
      </c>
      <c r="G49" s="25">
        <f>SUM('107 (a)'!G49)*1.1</f>
        <v>0</v>
      </c>
      <c r="H49" s="25">
        <f>SUM('107 (a)'!H49)*1.1</f>
        <v>0</v>
      </c>
      <c r="I49" s="25">
        <f>SUM('107 (a)'!I49)*1.1</f>
        <v>0</v>
      </c>
      <c r="J49" s="25">
        <f>SUM('107 (a)'!J49)*1.1</f>
        <v>0</v>
      </c>
      <c r="K49" s="25">
        <f>SUM('107 (a)'!K49)*1.1</f>
        <v>0</v>
      </c>
      <c r="L49" s="25">
        <f>SUM('107 (a)'!L49)*1.1</f>
        <v>0</v>
      </c>
      <c r="M49" s="25">
        <f>SUM('107 (a)'!M49)*1.1</f>
        <v>0</v>
      </c>
      <c r="N49" s="25">
        <f>SUM('107 (a)'!N49)*1.1</f>
        <v>0</v>
      </c>
      <c r="O49" s="25">
        <f>SUM('107 (a)'!O49)*1.1</f>
        <v>0</v>
      </c>
    </row>
    <row r="50" spans="1:15" ht="20.100000000000001" customHeight="1">
      <c r="A50" s="1512" t="s">
        <v>893</v>
      </c>
      <c r="B50" s="1513"/>
      <c r="C50" s="244">
        <f>SUM(C44:C48)</f>
        <v>715.00000000000011</v>
      </c>
      <c r="D50" s="245">
        <f>SUM(D44:D48)</f>
        <v>132</v>
      </c>
      <c r="E50" s="30">
        <f>C50+D50</f>
        <v>847.00000000000011</v>
      </c>
      <c r="F50" s="244">
        <f>SUM(F44:F48)</f>
        <v>339.90000000000009</v>
      </c>
      <c r="G50" s="245">
        <f>SUM(G44:G48)</f>
        <v>73.7</v>
      </c>
      <c r="H50" s="30">
        <f>F50+G50</f>
        <v>413.60000000000008</v>
      </c>
      <c r="I50" s="244">
        <f>SUM(I44:I48)</f>
        <v>297</v>
      </c>
      <c r="J50" s="245">
        <f>SUM(J44:J48)</f>
        <v>88</v>
      </c>
      <c r="K50" s="30">
        <f>I50+J50</f>
        <v>385</v>
      </c>
      <c r="L50" s="244">
        <f>SUM(L44:L48)</f>
        <v>117.70000000000002</v>
      </c>
      <c r="M50" s="245">
        <f>SUM(M44:M48)</f>
        <v>26.400000000000002</v>
      </c>
      <c r="N50" s="30">
        <f>L50+M50</f>
        <v>144.10000000000002</v>
      </c>
      <c r="O50" s="250">
        <f>E50+H50+K50+N50</f>
        <v>1789.7000000000003</v>
      </c>
    </row>
    <row r="51" spans="1:15" ht="15" customHeight="1">
      <c r="A51" s="1476" t="s">
        <v>1010</v>
      </c>
      <c r="B51" s="1478"/>
      <c r="C51" s="27"/>
      <c r="D51" s="27"/>
      <c r="E51" s="28"/>
      <c r="F51" s="27"/>
      <c r="G51" s="27"/>
      <c r="H51" s="28"/>
      <c r="I51" s="27"/>
      <c r="J51" s="27"/>
      <c r="K51" s="28"/>
      <c r="L51" s="27"/>
      <c r="M51" s="27"/>
      <c r="N51" s="28"/>
      <c r="O51" s="27"/>
    </row>
    <row r="52" spans="1:15" s="8" customFormat="1" ht="18.95" customHeight="1">
      <c r="A52" s="239">
        <v>1</v>
      </c>
      <c r="B52" s="520" t="s">
        <v>536</v>
      </c>
      <c r="C52" s="25">
        <f>SUM('107 (a)'!C52)*1.1</f>
        <v>44</v>
      </c>
      <c r="D52" s="25">
        <f>SUM('107 (a)'!D52)*1.1</f>
        <v>80.300000000000011</v>
      </c>
      <c r="E52" s="25">
        <f>SUM('107 (a)'!E52)*1.1</f>
        <v>124.30000000000001</v>
      </c>
      <c r="F52" s="25">
        <f>SUM('107 (a)'!F52)*1.1</f>
        <v>36.300000000000004</v>
      </c>
      <c r="G52" s="25">
        <f>SUM('107 (a)'!G52)*1.1</f>
        <v>70.400000000000006</v>
      </c>
      <c r="H52" s="25">
        <f>SUM('107 (a)'!H52)*1.1</f>
        <v>106.7</v>
      </c>
      <c r="I52" s="25">
        <f>SUM('107 (a)'!I52)*1.1</f>
        <v>35.200000000000003</v>
      </c>
      <c r="J52" s="25">
        <f>SUM('107 (a)'!J52)*1.1</f>
        <v>22</v>
      </c>
      <c r="K52" s="25">
        <f>SUM('107 (a)'!K52)*1.1</f>
        <v>57.2</v>
      </c>
      <c r="L52" s="25">
        <f>SUM('107 (a)'!L52)*1.1</f>
        <v>15.400000000000002</v>
      </c>
      <c r="M52" s="25">
        <f>SUM('107 (a)'!M52)*1.1</f>
        <v>18.700000000000003</v>
      </c>
      <c r="N52" s="25">
        <f>SUM('107 (a)'!N52)*1.1</f>
        <v>34.1</v>
      </c>
      <c r="O52" s="25">
        <f t="shared" ref="O52:O65" si="16">+E52+H52+K52+N52</f>
        <v>322.3</v>
      </c>
    </row>
    <row r="53" spans="1:15" s="8" customFormat="1" ht="18.95" customHeight="1">
      <c r="A53" s="597">
        <v>2</v>
      </c>
      <c r="B53" s="520" t="s">
        <v>1278</v>
      </c>
      <c r="C53" s="25">
        <f>SUM('107 (a)'!C53)*1.1</f>
        <v>86.9</v>
      </c>
      <c r="D53" s="25">
        <f>SUM('107 (a)'!D53)*1.1</f>
        <v>104.50000000000001</v>
      </c>
      <c r="E53" s="25">
        <f>SUM('107 (a)'!E53)*1.1</f>
        <v>191.4</v>
      </c>
      <c r="F53" s="25">
        <f>SUM('107 (a)'!F53)*1.1</f>
        <v>0</v>
      </c>
      <c r="G53" s="25">
        <f>SUM('107 (a)'!G53)*1.1</f>
        <v>0</v>
      </c>
      <c r="H53" s="25">
        <f>SUM('107 (a)'!H53)*1.1</f>
        <v>0</v>
      </c>
      <c r="I53" s="25">
        <f>SUM('107 (a)'!I53)*1.1</f>
        <v>57.2</v>
      </c>
      <c r="J53" s="25">
        <f>SUM('107 (a)'!J53)*1.1</f>
        <v>49.500000000000007</v>
      </c>
      <c r="K53" s="25">
        <f>SUM('107 (a)'!K53)*1.1</f>
        <v>106.7</v>
      </c>
      <c r="L53" s="25">
        <f>SUM('107 (a)'!L53)*1.1</f>
        <v>31.900000000000002</v>
      </c>
      <c r="M53" s="25">
        <f>SUM('107 (a)'!M53)*1.1</f>
        <v>26.400000000000002</v>
      </c>
      <c r="N53" s="25">
        <f>SUM('107 (a)'!N53)*1.1</f>
        <v>58.300000000000004</v>
      </c>
      <c r="O53" s="25">
        <f t="shared" si="16"/>
        <v>356.40000000000003</v>
      </c>
    </row>
    <row r="54" spans="1:15" s="8" customFormat="1">
      <c r="A54" s="240" t="s">
        <v>1277</v>
      </c>
      <c r="B54" s="520" t="s">
        <v>1279</v>
      </c>
      <c r="C54" s="25">
        <f>SUM('107 (a)'!C54)*1.1</f>
        <v>74.800000000000011</v>
      </c>
      <c r="D54" s="25">
        <f>SUM('107 (a)'!D54)*1.1</f>
        <v>107.80000000000001</v>
      </c>
      <c r="E54" s="25">
        <f>SUM('107 (a)'!E54)*1.1</f>
        <v>182.60000000000002</v>
      </c>
      <c r="F54" s="25">
        <f>SUM('107 (a)'!F54)*1.1</f>
        <v>0</v>
      </c>
      <c r="G54" s="25">
        <f>SUM('107 (a)'!G54)*1.1</f>
        <v>0</v>
      </c>
      <c r="H54" s="25">
        <f>SUM('107 (a)'!H54)*1.1</f>
        <v>0</v>
      </c>
      <c r="I54" s="25">
        <f>SUM('107 (a)'!I54)*1.1</f>
        <v>0</v>
      </c>
      <c r="J54" s="25">
        <f>SUM('107 (a)'!J54)*1.1</f>
        <v>0</v>
      </c>
      <c r="K54" s="25">
        <f>SUM('107 (a)'!K54)*1.1</f>
        <v>0</v>
      </c>
      <c r="L54" s="25">
        <f>SUM('107 (a)'!L54)*1.1</f>
        <v>0</v>
      </c>
      <c r="M54" s="25">
        <f>SUM('107 (a)'!M54)*1.1</f>
        <v>0</v>
      </c>
      <c r="N54" s="25">
        <f>SUM('107 (a)'!N54)*1.1</f>
        <v>0</v>
      </c>
      <c r="O54" s="25">
        <f t="shared" si="16"/>
        <v>182.60000000000002</v>
      </c>
    </row>
    <row r="55" spans="1:15" s="8" customFormat="1" ht="42.75">
      <c r="A55" s="240">
        <v>3</v>
      </c>
      <c r="B55" s="524" t="s">
        <v>1152</v>
      </c>
      <c r="C55" s="25">
        <f>SUM('107 (a)'!C55)*1.1</f>
        <v>177.10000000000002</v>
      </c>
      <c r="D55" s="25">
        <f>SUM('107 (a)'!D55)*1.1</f>
        <v>15.400000000000002</v>
      </c>
      <c r="E55" s="25">
        <f>SUM('107 (a)'!E55)*1.1</f>
        <v>192.50000000000003</v>
      </c>
      <c r="F55" s="25">
        <f>SUM('107 (a)'!F55)*1.1</f>
        <v>6.6000000000000005</v>
      </c>
      <c r="G55" s="25">
        <f>SUM('107 (a)'!G55)*1.1</f>
        <v>18.700000000000003</v>
      </c>
      <c r="H55" s="25">
        <f>SUM('107 (a)'!H55)*1.1</f>
        <v>25.3</v>
      </c>
      <c r="I55" s="25">
        <f>SUM('107 (a)'!I55)*1.1</f>
        <v>2.2000000000000002</v>
      </c>
      <c r="J55" s="25">
        <f>SUM('107 (a)'!J55)*1.1</f>
        <v>1.1000000000000001</v>
      </c>
      <c r="K55" s="25">
        <f>SUM('107 (a)'!K55)*1.1</f>
        <v>3.3000000000000003</v>
      </c>
      <c r="L55" s="25">
        <f>SUM('107 (a)'!L55)*1.1</f>
        <v>1.1000000000000001</v>
      </c>
      <c r="M55" s="25">
        <f>SUM('107 (a)'!M55)*1.1</f>
        <v>0</v>
      </c>
      <c r="N55" s="25">
        <f>SUM('107 (a)'!N55)*1.1</f>
        <v>1.1000000000000001</v>
      </c>
      <c r="O55" s="25">
        <f t="shared" si="16"/>
        <v>222.20000000000005</v>
      </c>
    </row>
    <row r="56" spans="1:15" s="8" customFormat="1" ht="28.5">
      <c r="A56" s="240">
        <v>4</v>
      </c>
      <c r="B56" s="520" t="s">
        <v>1153</v>
      </c>
      <c r="C56" s="25">
        <f>SUM('107 (a)'!C56)*1.1</f>
        <v>0</v>
      </c>
      <c r="D56" s="25">
        <f>SUM('107 (a)'!D56)*1.1</f>
        <v>0</v>
      </c>
      <c r="E56" s="25">
        <f>SUM('107 (a)'!E56)*1.1</f>
        <v>0</v>
      </c>
      <c r="F56" s="25">
        <f>SUM('107 (a)'!F56)*1.1</f>
        <v>0</v>
      </c>
      <c r="G56" s="25">
        <f>SUM('107 (a)'!G56)*1.1</f>
        <v>0</v>
      </c>
      <c r="H56" s="25">
        <f>SUM('107 (a)'!H56)*1.1</f>
        <v>0</v>
      </c>
      <c r="I56" s="25">
        <f>SUM('107 (a)'!I56)*1.1</f>
        <v>25.3</v>
      </c>
      <c r="J56" s="25">
        <f>SUM('107 (a)'!J56)*1.1</f>
        <v>14.3</v>
      </c>
      <c r="K56" s="25">
        <f>SUM('107 (a)'!K56)*1.1</f>
        <v>39.6</v>
      </c>
      <c r="L56" s="25">
        <f>SUM('107 (a)'!L56)*1.1</f>
        <v>8.8000000000000007</v>
      </c>
      <c r="M56" s="25">
        <f>SUM('107 (a)'!M56)*1.1</f>
        <v>3.3000000000000003</v>
      </c>
      <c r="N56" s="25">
        <f>SUM('107 (a)'!N56)*1.1</f>
        <v>12.100000000000001</v>
      </c>
      <c r="O56" s="25">
        <f t="shared" si="16"/>
        <v>51.7</v>
      </c>
    </row>
    <row r="57" spans="1:15" s="8" customFormat="1" ht="18.95" customHeight="1">
      <c r="A57" s="240">
        <v>5</v>
      </c>
      <c r="B57" s="520" t="s">
        <v>1154</v>
      </c>
      <c r="C57" s="25">
        <f>SUM('107 (a)'!C57)*1.1</f>
        <v>112.2</v>
      </c>
      <c r="D57" s="25">
        <f>SUM('107 (a)'!D57)*1.1</f>
        <v>62.7</v>
      </c>
      <c r="E57" s="25">
        <f>SUM('107 (a)'!E57)*1.1</f>
        <v>174.9</v>
      </c>
      <c r="F57" s="25">
        <f>SUM('107 (a)'!F57)*1.1</f>
        <v>50.6</v>
      </c>
      <c r="G57" s="25">
        <f>SUM('107 (a)'!G57)*1.1</f>
        <v>39.6</v>
      </c>
      <c r="H57" s="25">
        <f>SUM('107 (a)'!H57)*1.1</f>
        <v>90.2</v>
      </c>
      <c r="I57" s="25">
        <f>SUM('107 (a)'!I57)*1.1</f>
        <v>29.700000000000003</v>
      </c>
      <c r="J57" s="25">
        <f>SUM('107 (a)'!J57)*1.1</f>
        <v>35.200000000000003</v>
      </c>
      <c r="K57" s="25">
        <f>SUM('107 (a)'!K57)*1.1</f>
        <v>64.900000000000006</v>
      </c>
      <c r="L57" s="25">
        <f>SUM('107 (a)'!L57)*1.1</f>
        <v>28.6</v>
      </c>
      <c r="M57" s="25">
        <f>SUM('107 (a)'!M57)*1.1</f>
        <v>15.400000000000002</v>
      </c>
      <c r="N57" s="25">
        <f>SUM('107 (a)'!N57)*1.1</f>
        <v>44</v>
      </c>
      <c r="O57" s="25">
        <f t="shared" si="16"/>
        <v>374</v>
      </c>
    </row>
    <row r="58" spans="1:15" s="8" customFormat="1" ht="18.95" customHeight="1">
      <c r="A58" s="240">
        <v>6</v>
      </c>
      <c r="B58" s="520" t="s">
        <v>482</v>
      </c>
      <c r="C58" s="25">
        <f>SUM('107 (a)'!C58)*1.1</f>
        <v>229.9</v>
      </c>
      <c r="D58" s="25">
        <f>SUM('107 (a)'!D58)*1.1</f>
        <v>6.6000000000000005</v>
      </c>
      <c r="E58" s="25">
        <f>SUM('107 (a)'!E58)*1.1</f>
        <v>236.50000000000003</v>
      </c>
      <c r="F58" s="25">
        <f>SUM('107 (a)'!F58)*1.1</f>
        <v>0</v>
      </c>
      <c r="G58" s="25">
        <f>SUM('107 (a)'!G58)*1.1</f>
        <v>0</v>
      </c>
      <c r="H58" s="25">
        <f>SUM('107 (a)'!H58)*1.1</f>
        <v>0</v>
      </c>
      <c r="I58" s="25">
        <f>SUM('107 (a)'!I58)*1.1</f>
        <v>52.800000000000004</v>
      </c>
      <c r="J58" s="25">
        <f>SUM('107 (a)'!J58)*1.1</f>
        <v>4.4000000000000004</v>
      </c>
      <c r="K58" s="25">
        <f>SUM('107 (a)'!K58)*1.1</f>
        <v>57.2</v>
      </c>
      <c r="L58" s="25">
        <f>SUM('107 (a)'!L58)*1.1</f>
        <v>14.3</v>
      </c>
      <c r="M58" s="25">
        <f>SUM('107 (a)'!M58)*1.1</f>
        <v>0</v>
      </c>
      <c r="N58" s="25">
        <f>SUM('107 (a)'!N58)*1.1</f>
        <v>14.3</v>
      </c>
      <c r="O58" s="25">
        <f t="shared" si="16"/>
        <v>308.00000000000006</v>
      </c>
    </row>
    <row r="59" spans="1:15" s="8" customFormat="1" ht="18.95" customHeight="1">
      <c r="A59" s="240">
        <v>7</v>
      </c>
      <c r="B59" s="520" t="s">
        <v>480</v>
      </c>
      <c r="C59" s="25">
        <f>SUM('107 (a)'!C59)*1.1</f>
        <v>29.700000000000003</v>
      </c>
      <c r="D59" s="25">
        <f>SUM('107 (a)'!D59)*1.1</f>
        <v>14.3</v>
      </c>
      <c r="E59" s="25">
        <f>SUM('107 (a)'!E59)*1.1</f>
        <v>44</v>
      </c>
      <c r="F59" s="25">
        <f>SUM('107 (a)'!F59)*1.1</f>
        <v>53.900000000000006</v>
      </c>
      <c r="G59" s="25">
        <f>SUM('107 (a)'!G59)*1.1</f>
        <v>52.800000000000004</v>
      </c>
      <c r="H59" s="25">
        <f>SUM('107 (a)'!H59)*1.1</f>
        <v>106.7</v>
      </c>
      <c r="I59" s="25">
        <f>SUM('107 (a)'!I59)*1.1</f>
        <v>9.9</v>
      </c>
      <c r="J59" s="25">
        <f>SUM('107 (a)'!J59)*1.1</f>
        <v>6.6000000000000005</v>
      </c>
      <c r="K59" s="25">
        <f>SUM('107 (a)'!K59)*1.1</f>
        <v>16.5</v>
      </c>
      <c r="L59" s="25">
        <f>SUM('107 (a)'!L59)*1.1</f>
        <v>0</v>
      </c>
      <c r="M59" s="25">
        <f>SUM('107 (a)'!M59)*1.1</f>
        <v>0</v>
      </c>
      <c r="N59" s="25">
        <f>SUM('107 (a)'!N59)*1.1</f>
        <v>0</v>
      </c>
      <c r="O59" s="25">
        <f t="shared" si="16"/>
        <v>167.2</v>
      </c>
    </row>
    <row r="60" spans="1:15" s="8" customFormat="1" ht="18.95" customHeight="1">
      <c r="A60" s="240">
        <v>7</v>
      </c>
      <c r="B60" s="520" t="s">
        <v>1172</v>
      </c>
      <c r="C60" s="25">
        <f>SUM('107 (a)'!C60)*1.1</f>
        <v>135.30000000000001</v>
      </c>
      <c r="D60" s="25">
        <f>SUM('107 (a)'!D60)*1.1</f>
        <v>14.3</v>
      </c>
      <c r="E60" s="25">
        <f>SUM('107 (a)'!E60)*1.1</f>
        <v>149.60000000000002</v>
      </c>
      <c r="F60" s="25">
        <f>SUM('107 (a)'!F60)*1.1</f>
        <v>0</v>
      </c>
      <c r="G60" s="25">
        <f>SUM('107 (a)'!G60)*1.1</f>
        <v>0</v>
      </c>
      <c r="H60" s="25">
        <f>SUM('107 (a)'!H60)*1.1</f>
        <v>0</v>
      </c>
      <c r="I60" s="25">
        <f>SUM('107 (a)'!I60)*1.1</f>
        <v>0</v>
      </c>
      <c r="J60" s="25">
        <f>SUM('107 (a)'!J60)*1.1</f>
        <v>0</v>
      </c>
      <c r="K60" s="25">
        <f>SUM('107 (a)'!K60)*1.1</f>
        <v>0</v>
      </c>
      <c r="L60" s="25">
        <f>SUM('107 (a)'!L60)*1.1</f>
        <v>0</v>
      </c>
      <c r="M60" s="25">
        <f>SUM('107 (a)'!M60)*1.1</f>
        <v>0</v>
      </c>
      <c r="N60" s="25">
        <f>SUM('107 (a)'!N60)*1.1</f>
        <v>0</v>
      </c>
      <c r="O60" s="25">
        <f t="shared" si="16"/>
        <v>149.60000000000002</v>
      </c>
    </row>
    <row r="61" spans="1:15" s="8" customFormat="1" ht="28.5">
      <c r="A61" s="240">
        <v>8</v>
      </c>
      <c r="B61" s="520" t="s">
        <v>1155</v>
      </c>
      <c r="C61" s="25">
        <f>SUM('107 (a)'!C61)*1.1</f>
        <v>119.9</v>
      </c>
      <c r="D61" s="25">
        <f>SUM('107 (a)'!D61)*1.1</f>
        <v>88</v>
      </c>
      <c r="E61" s="25">
        <f>SUM('107 (a)'!E61)*1.1</f>
        <v>207.9</v>
      </c>
      <c r="F61" s="25">
        <f>SUM('107 (a)'!F61)*1.1</f>
        <v>77</v>
      </c>
      <c r="G61" s="25">
        <f>SUM('107 (a)'!G61)*1.1</f>
        <v>81.400000000000006</v>
      </c>
      <c r="H61" s="25">
        <f>SUM('107 (a)'!H61)*1.1</f>
        <v>158.4</v>
      </c>
      <c r="I61" s="25">
        <f>SUM('107 (a)'!I61)*1.1</f>
        <v>105.60000000000001</v>
      </c>
      <c r="J61" s="25">
        <f>SUM('107 (a)'!J61)*1.1</f>
        <v>100.10000000000001</v>
      </c>
      <c r="K61" s="25">
        <f>SUM('107 (a)'!K61)*1.1</f>
        <v>205.70000000000002</v>
      </c>
      <c r="L61" s="25">
        <f>SUM('107 (a)'!L61)*1.1</f>
        <v>41.800000000000004</v>
      </c>
      <c r="M61" s="25">
        <f>SUM('107 (a)'!M61)*1.1</f>
        <v>20.900000000000002</v>
      </c>
      <c r="N61" s="25">
        <f>SUM('107 (a)'!N61)*1.1</f>
        <v>62.7</v>
      </c>
      <c r="O61" s="25">
        <f t="shared" si="16"/>
        <v>634.70000000000005</v>
      </c>
    </row>
    <row r="62" spans="1:15" s="8" customFormat="1">
      <c r="A62" s="240">
        <v>9</v>
      </c>
      <c r="B62" s="520" t="s">
        <v>548</v>
      </c>
      <c r="C62" s="25">
        <f>SUM('107 (a)'!C62)*1.1</f>
        <v>149.60000000000002</v>
      </c>
      <c r="D62" s="25">
        <f>SUM('107 (a)'!D62)*1.1</f>
        <v>55.000000000000007</v>
      </c>
      <c r="E62" s="25">
        <f>SUM('107 (a)'!E62)*1.1</f>
        <v>204.60000000000002</v>
      </c>
      <c r="F62" s="25">
        <f>SUM('107 (a)'!F62)*1.1</f>
        <v>0</v>
      </c>
      <c r="G62" s="25">
        <f>SUM('107 (a)'!G62)*1.1</f>
        <v>0</v>
      </c>
      <c r="H62" s="25">
        <f>SUM('107 (a)'!H62)*1.1</f>
        <v>0</v>
      </c>
      <c r="I62" s="25">
        <f>SUM('107 (a)'!I62)*1.1</f>
        <v>28.6</v>
      </c>
      <c r="J62" s="25">
        <f>SUM('107 (a)'!J62)*1.1</f>
        <v>18.700000000000003</v>
      </c>
      <c r="K62" s="25">
        <f>SUM('107 (a)'!K62)*1.1</f>
        <v>47.300000000000004</v>
      </c>
      <c r="L62" s="25">
        <f>SUM('107 (a)'!L62)*1.1</f>
        <v>29.700000000000003</v>
      </c>
      <c r="M62" s="25">
        <f>SUM('107 (a)'!M62)*1.1</f>
        <v>14.3</v>
      </c>
      <c r="N62" s="25">
        <f>SUM('107 (a)'!N62)*1.1</f>
        <v>44</v>
      </c>
      <c r="O62" s="25">
        <f t="shared" si="16"/>
        <v>295.90000000000003</v>
      </c>
    </row>
    <row r="63" spans="1:15" s="8" customFormat="1" ht="28.5">
      <c r="A63" s="240">
        <v>10</v>
      </c>
      <c r="B63" s="520" t="s">
        <v>1156</v>
      </c>
      <c r="C63" s="25">
        <f>SUM('107 (a)'!C63)*1.1</f>
        <v>151.80000000000001</v>
      </c>
      <c r="D63" s="25">
        <f>SUM('107 (a)'!D63)*1.1</f>
        <v>4.4000000000000004</v>
      </c>
      <c r="E63" s="25">
        <f>SUM('107 (a)'!E63)*1.1</f>
        <v>156.20000000000002</v>
      </c>
      <c r="F63" s="25">
        <f>SUM('107 (a)'!F63)*1.1</f>
        <v>0</v>
      </c>
      <c r="G63" s="25">
        <f>SUM('107 (a)'!G63)*1.1</f>
        <v>0</v>
      </c>
      <c r="H63" s="25">
        <f>SUM('107 (a)'!H63)*1.1</f>
        <v>0</v>
      </c>
      <c r="I63" s="25">
        <f>SUM('107 (a)'!I63)*1.1</f>
        <v>15.400000000000002</v>
      </c>
      <c r="J63" s="25">
        <f>SUM('107 (a)'!J63)*1.1</f>
        <v>2.2000000000000002</v>
      </c>
      <c r="K63" s="25">
        <f>SUM('107 (a)'!K63)*1.1</f>
        <v>17.600000000000001</v>
      </c>
      <c r="L63" s="25">
        <f>SUM('107 (a)'!L63)*1.1</f>
        <v>7.7000000000000011</v>
      </c>
      <c r="M63" s="25">
        <f>SUM('107 (a)'!M63)*1.1</f>
        <v>1.1000000000000001</v>
      </c>
      <c r="N63" s="25">
        <f>SUM('107 (a)'!N63)*1.1</f>
        <v>8.8000000000000007</v>
      </c>
      <c r="O63" s="25">
        <f t="shared" si="16"/>
        <v>182.60000000000002</v>
      </c>
    </row>
    <row r="64" spans="1:15" s="8" customFormat="1">
      <c r="A64" s="240">
        <v>11</v>
      </c>
      <c r="B64" s="520" t="s">
        <v>1144</v>
      </c>
      <c r="C64" s="25">
        <f>SUM('107 (a)'!C64)*1.1</f>
        <v>0</v>
      </c>
      <c r="D64" s="25">
        <f>SUM('107 (a)'!D64)*1.1</f>
        <v>174.9</v>
      </c>
      <c r="E64" s="25">
        <f>SUM('107 (a)'!E64)*1.1</f>
        <v>174.9</v>
      </c>
      <c r="F64" s="25">
        <f>SUM('107 (a)'!F64)*1.1</f>
        <v>0</v>
      </c>
      <c r="G64" s="25">
        <f>SUM('107 (a)'!G64)*1.1</f>
        <v>0</v>
      </c>
      <c r="H64" s="25">
        <f>SUM('107 (a)'!H64)*1.1</f>
        <v>0</v>
      </c>
      <c r="I64" s="25">
        <f>SUM('107 (a)'!I64)*1.1</f>
        <v>0</v>
      </c>
      <c r="J64" s="25">
        <f>SUM('107 (a)'!J64)*1.1</f>
        <v>0</v>
      </c>
      <c r="K64" s="25">
        <f>SUM('107 (a)'!K64)*1.1</f>
        <v>0</v>
      </c>
      <c r="L64" s="25">
        <f>SUM('107 (a)'!L64)*1.1</f>
        <v>0</v>
      </c>
      <c r="M64" s="25">
        <f>SUM('107 (a)'!M64)*1.1</f>
        <v>0</v>
      </c>
      <c r="N64" s="25">
        <f>SUM('107 (a)'!N64)*1.1</f>
        <v>0</v>
      </c>
      <c r="O64" s="25">
        <f t="shared" si="16"/>
        <v>174.9</v>
      </c>
    </row>
    <row r="65" spans="1:15" s="8" customFormat="1" ht="18.95" customHeight="1">
      <c r="A65" s="240">
        <v>12</v>
      </c>
      <c r="B65" s="790" t="s">
        <v>552</v>
      </c>
      <c r="C65" s="25">
        <f>SUM('107 (a)'!C65)*1.1</f>
        <v>95.7</v>
      </c>
      <c r="D65" s="25">
        <f>SUM('107 (a)'!D65)*1.1</f>
        <v>123.20000000000002</v>
      </c>
      <c r="E65" s="25">
        <f>SUM('107 (a)'!E65)*1.1</f>
        <v>218.9</v>
      </c>
      <c r="F65" s="25">
        <f>SUM('107 (a)'!F65)*1.1</f>
        <v>49.500000000000007</v>
      </c>
      <c r="G65" s="25">
        <f>SUM('107 (a)'!G65)*1.1</f>
        <v>58.300000000000004</v>
      </c>
      <c r="H65" s="25">
        <f>SUM('107 (a)'!H65)*1.1</f>
        <v>107.80000000000001</v>
      </c>
      <c r="I65" s="25">
        <f>SUM('107 (a)'!I65)*1.1</f>
        <v>62.7</v>
      </c>
      <c r="J65" s="25">
        <f>SUM('107 (a)'!J65)*1.1</f>
        <v>35.200000000000003</v>
      </c>
      <c r="K65" s="25">
        <f>SUM('107 (a)'!K65)*1.1</f>
        <v>97.9</v>
      </c>
      <c r="L65" s="25">
        <f>SUM('107 (a)'!L65)*1.1</f>
        <v>29.700000000000003</v>
      </c>
      <c r="M65" s="25">
        <f>SUM('107 (a)'!M65)*1.1</f>
        <v>16.5</v>
      </c>
      <c r="N65" s="25">
        <f>SUM('107 (a)'!N65)*1.1</f>
        <v>46.2</v>
      </c>
      <c r="O65" s="25">
        <f t="shared" si="16"/>
        <v>470.8</v>
      </c>
    </row>
    <row r="66" spans="1:15" ht="20.100000000000001" customHeight="1">
      <c r="A66" s="1512" t="s">
        <v>893</v>
      </c>
      <c r="B66" s="1513"/>
      <c r="C66" s="244">
        <f>SUM(C52:C65)</f>
        <v>1406.9</v>
      </c>
      <c r="D66" s="245">
        <f>SUM(D52:D65)</f>
        <v>851.40000000000009</v>
      </c>
      <c r="E66" s="30">
        <f>C66+D66</f>
        <v>2258.3000000000002</v>
      </c>
      <c r="F66" s="244">
        <f>SUM(F52:F65)</f>
        <v>273.90000000000003</v>
      </c>
      <c r="G66" s="245">
        <f>SUM(G52:G65)</f>
        <v>321.20000000000005</v>
      </c>
      <c r="H66" s="30">
        <f>F66+G66</f>
        <v>595.10000000000014</v>
      </c>
      <c r="I66" s="244">
        <f>SUM(I52:I65)</f>
        <v>424.6</v>
      </c>
      <c r="J66" s="245">
        <f>SUM(J52:J65)</f>
        <v>289.29999999999995</v>
      </c>
      <c r="K66" s="30">
        <f>I66+J66</f>
        <v>713.9</v>
      </c>
      <c r="L66" s="244">
        <f>SUM(L52:L65)</f>
        <v>209</v>
      </c>
      <c r="M66" s="245">
        <f>SUM(M52:M65)</f>
        <v>116.60000000000001</v>
      </c>
      <c r="N66" s="30">
        <f>L66+M66</f>
        <v>325.60000000000002</v>
      </c>
      <c r="O66" s="250">
        <f>E66+H66+K66+N66</f>
        <v>3892.9000000000005</v>
      </c>
    </row>
    <row r="67" spans="1:15" ht="20.100000000000001" customHeight="1">
      <c r="A67" s="1518" t="s">
        <v>1157</v>
      </c>
      <c r="B67" s="1518"/>
      <c r="C67" s="1518"/>
      <c r="D67" s="1518"/>
      <c r="E67" s="1518"/>
      <c r="F67" s="1518"/>
      <c r="G67" s="1518"/>
      <c r="H67" s="1518"/>
      <c r="I67" s="1518"/>
      <c r="J67" s="1518"/>
      <c r="K67" s="1518"/>
      <c r="L67" s="1518"/>
      <c r="M67" s="1518"/>
      <c r="N67" s="1518"/>
      <c r="O67" s="1518"/>
    </row>
    <row r="68" spans="1:15" ht="28.5">
      <c r="A68" s="239">
        <v>1</v>
      </c>
      <c r="B68" s="529" t="s">
        <v>1158</v>
      </c>
      <c r="C68" s="25">
        <f>SUM('107 (a)'!C68)*1.1</f>
        <v>0</v>
      </c>
      <c r="D68" s="25">
        <f>SUM('107 (a)'!D68)*1.1</f>
        <v>470.8</v>
      </c>
      <c r="E68" s="25">
        <f>SUM('107 (a)'!E68)*1.1</f>
        <v>470.8</v>
      </c>
      <c r="F68" s="25">
        <f>SUM('107 (a)'!F68)*1.1</f>
        <v>0</v>
      </c>
      <c r="G68" s="25">
        <f>SUM('107 (a)'!G68)*1.1</f>
        <v>89.100000000000009</v>
      </c>
      <c r="H68" s="25">
        <f>SUM('107 (a)'!H68)*1.1</f>
        <v>89.100000000000009</v>
      </c>
      <c r="I68" s="25">
        <f>SUM('107 (a)'!I68)*1.1</f>
        <v>0</v>
      </c>
      <c r="J68" s="25">
        <f>SUM('107 (a)'!J68)*1.1</f>
        <v>47.300000000000004</v>
      </c>
      <c r="K68" s="25">
        <f>SUM('107 (a)'!K68)*1.1</f>
        <v>47.300000000000004</v>
      </c>
      <c r="L68" s="25">
        <f>SUM('107 (a)'!L68)*1.1</f>
        <v>0</v>
      </c>
      <c r="M68" s="25">
        <f>SUM('107 (a)'!M68)*1.1</f>
        <v>11</v>
      </c>
      <c r="N68" s="25">
        <f>SUM('107 (a)'!N68)*1.1</f>
        <v>11</v>
      </c>
      <c r="O68" s="25">
        <f t="shared" ref="O68:O72" si="17">+E68+H68+K68+N68</f>
        <v>618.19999999999993</v>
      </c>
    </row>
    <row r="69" spans="1:15" ht="28.5">
      <c r="A69" s="240">
        <v>2</v>
      </c>
      <c r="B69" s="529" t="s">
        <v>1159</v>
      </c>
      <c r="C69" s="25">
        <f>SUM('107 (a)'!C69)*1.1</f>
        <v>271.70000000000005</v>
      </c>
      <c r="D69" s="25">
        <f>SUM('107 (a)'!D69)*1.1</f>
        <v>103.4</v>
      </c>
      <c r="E69" s="25">
        <f>SUM('107 (a)'!E69)*1.1</f>
        <v>375.1</v>
      </c>
      <c r="F69" s="25">
        <f>SUM('107 (a)'!F69)*1.1</f>
        <v>192.50000000000003</v>
      </c>
      <c r="G69" s="25">
        <f>SUM('107 (a)'!G69)*1.1</f>
        <v>38.5</v>
      </c>
      <c r="H69" s="25">
        <f>SUM('107 (a)'!H69)*1.1</f>
        <v>231.00000000000003</v>
      </c>
      <c r="I69" s="25">
        <f>SUM('107 (a)'!I69)*1.1</f>
        <v>20.900000000000002</v>
      </c>
      <c r="J69" s="25">
        <f>SUM('107 (a)'!J69)*1.1</f>
        <v>12.100000000000001</v>
      </c>
      <c r="K69" s="25">
        <f>SUM('107 (a)'!K69)*1.1</f>
        <v>33</v>
      </c>
      <c r="L69" s="25">
        <f>SUM('107 (a)'!L69)*1.1</f>
        <v>28.6</v>
      </c>
      <c r="M69" s="25">
        <f>SUM('107 (a)'!M69)*1.1</f>
        <v>2.2000000000000002</v>
      </c>
      <c r="N69" s="25">
        <f>SUM('107 (a)'!N69)*1.1</f>
        <v>30.800000000000004</v>
      </c>
      <c r="O69" s="25">
        <f t="shared" si="17"/>
        <v>669.9</v>
      </c>
    </row>
    <row r="70" spans="1:15" ht="28.5">
      <c r="A70" s="240">
        <v>3</v>
      </c>
      <c r="B70" s="520" t="s">
        <v>1160</v>
      </c>
      <c r="C70" s="25">
        <f>SUM('107 (a)'!C70)*1.1</f>
        <v>0</v>
      </c>
      <c r="D70" s="25">
        <f>SUM('107 (a)'!D70)*1.1</f>
        <v>0</v>
      </c>
      <c r="E70" s="25">
        <f>SUM('107 (a)'!E70)*1.1</f>
        <v>0</v>
      </c>
      <c r="F70" s="25">
        <f>SUM('107 (a)'!F70)*1.1</f>
        <v>84.7</v>
      </c>
      <c r="G70" s="25">
        <f>SUM('107 (a)'!G70)*1.1</f>
        <v>26.400000000000002</v>
      </c>
      <c r="H70" s="25">
        <f>SUM('107 (a)'!H70)*1.1</f>
        <v>111.10000000000001</v>
      </c>
      <c r="I70" s="25">
        <f>SUM('107 (a)'!I70)*1.1</f>
        <v>27.500000000000004</v>
      </c>
      <c r="J70" s="25">
        <f>SUM('107 (a)'!J70)*1.1</f>
        <v>8.8000000000000007</v>
      </c>
      <c r="K70" s="25">
        <f>SUM('107 (a)'!K70)*1.1</f>
        <v>36.300000000000004</v>
      </c>
      <c r="L70" s="25">
        <f>SUM('107 (a)'!L70)*1.1</f>
        <v>19.8</v>
      </c>
      <c r="M70" s="25">
        <f>SUM('107 (a)'!M70)*1.1</f>
        <v>0</v>
      </c>
      <c r="N70" s="25">
        <f>SUM('107 (a)'!N70)*1.1</f>
        <v>19.8</v>
      </c>
      <c r="O70" s="25">
        <f t="shared" si="17"/>
        <v>167.20000000000002</v>
      </c>
    </row>
    <row r="71" spans="1:15" ht="28.5">
      <c r="A71" s="240">
        <v>4</v>
      </c>
      <c r="B71" s="520" t="s">
        <v>1161</v>
      </c>
      <c r="C71" s="25">
        <f>SUM('107 (a)'!C71)*1.1</f>
        <v>0</v>
      </c>
      <c r="D71" s="25">
        <f>SUM('107 (a)'!D71)*1.1</f>
        <v>0</v>
      </c>
      <c r="E71" s="25">
        <f>SUM('107 (a)'!E71)*1.1</f>
        <v>0</v>
      </c>
      <c r="F71" s="25">
        <f>SUM('107 (a)'!F71)*1.1</f>
        <v>70.400000000000006</v>
      </c>
      <c r="G71" s="25">
        <f>SUM('107 (a)'!G71)*1.1</f>
        <v>49.500000000000007</v>
      </c>
      <c r="H71" s="25">
        <f>SUM('107 (a)'!H71)*1.1</f>
        <v>119.9</v>
      </c>
      <c r="I71" s="25">
        <f>SUM('107 (a)'!I71)*1.1</f>
        <v>16.5</v>
      </c>
      <c r="J71" s="25">
        <f>SUM('107 (a)'!J71)*1.1</f>
        <v>5.5</v>
      </c>
      <c r="K71" s="25">
        <f>SUM('107 (a)'!K71)*1.1</f>
        <v>22</v>
      </c>
      <c r="L71" s="25">
        <f>SUM('107 (a)'!L71)*1.1</f>
        <v>0</v>
      </c>
      <c r="M71" s="25">
        <f>SUM('107 (a)'!M71)*1.1</f>
        <v>0</v>
      </c>
      <c r="N71" s="25">
        <f>SUM('107 (a)'!N71)*1.1</f>
        <v>0</v>
      </c>
      <c r="O71" s="25">
        <f t="shared" si="17"/>
        <v>141.9</v>
      </c>
    </row>
    <row r="72" spans="1:15" ht="28.5">
      <c r="A72" s="240">
        <v>5</v>
      </c>
      <c r="B72" s="520" t="s">
        <v>1162</v>
      </c>
      <c r="C72" s="25">
        <f>SUM('107 (a)'!C72)*1.1</f>
        <v>224.4</v>
      </c>
      <c r="D72" s="25">
        <f>SUM('107 (a)'!D72)*1.1</f>
        <v>24.200000000000003</v>
      </c>
      <c r="E72" s="25">
        <f>SUM('107 (a)'!E72)*1.1</f>
        <v>248.60000000000002</v>
      </c>
      <c r="F72" s="25">
        <f>SUM('107 (a)'!F72)*1.1</f>
        <v>126.50000000000001</v>
      </c>
      <c r="G72" s="25">
        <f>SUM('107 (a)'!G72)*1.1</f>
        <v>13.200000000000001</v>
      </c>
      <c r="H72" s="25">
        <f>SUM('107 (a)'!H72)*1.1</f>
        <v>139.70000000000002</v>
      </c>
      <c r="I72" s="25">
        <f>SUM('107 (a)'!I72)*1.1</f>
        <v>0</v>
      </c>
      <c r="J72" s="25">
        <f>SUM('107 (a)'!J72)*1.1</f>
        <v>0</v>
      </c>
      <c r="K72" s="25">
        <f>SUM('107 (a)'!K72)*1.1</f>
        <v>0</v>
      </c>
      <c r="L72" s="25">
        <f>SUM('107 (a)'!L72)*1.1</f>
        <v>0</v>
      </c>
      <c r="M72" s="25">
        <f>SUM('107 (a)'!M72)*1.1</f>
        <v>0</v>
      </c>
      <c r="N72" s="25">
        <f>SUM('107 (a)'!N72)*1.1</f>
        <v>0</v>
      </c>
      <c r="O72" s="25">
        <f t="shared" si="17"/>
        <v>388.30000000000007</v>
      </c>
    </row>
    <row r="73" spans="1:15" ht="20.100000000000001" customHeight="1">
      <c r="A73" s="269">
        <v>6</v>
      </c>
      <c r="B73" s="243"/>
      <c r="C73" s="235"/>
      <c r="D73" s="235"/>
      <c r="E73" s="196">
        <f t="shared" ref="E73:E74" si="18">C73+D73</f>
        <v>0</v>
      </c>
      <c r="F73" s="235"/>
      <c r="G73" s="235"/>
      <c r="H73" s="196">
        <f t="shared" ref="H73:H74" si="19">F73+G73</f>
        <v>0</v>
      </c>
      <c r="I73" s="235"/>
      <c r="J73" s="235"/>
      <c r="K73" s="196">
        <f t="shared" ref="K73:K74" si="20">I73+J73</f>
        <v>0</v>
      </c>
      <c r="L73" s="235"/>
      <c r="M73" s="235"/>
      <c r="N73" s="196">
        <f t="shared" ref="N73:N74" si="21">L73+M73</f>
        <v>0</v>
      </c>
      <c r="O73" s="26">
        <f t="shared" ref="O73" si="22">+E73+H73+K73+N73</f>
        <v>0</v>
      </c>
    </row>
    <row r="74" spans="1:15" ht="20.100000000000001" customHeight="1">
      <c r="A74" s="1512" t="s">
        <v>893</v>
      </c>
      <c r="B74" s="1513"/>
      <c r="C74" s="244">
        <f>SUM(C68:C72)</f>
        <v>496.1</v>
      </c>
      <c r="D74" s="245">
        <f>SUM(D68:D72)</f>
        <v>598.40000000000009</v>
      </c>
      <c r="E74" s="30">
        <f t="shared" si="18"/>
        <v>1094.5</v>
      </c>
      <c r="F74" s="244">
        <f>SUM(F68:F72)</f>
        <v>474.1</v>
      </c>
      <c r="G74" s="245">
        <f>SUM(G68:G72)</f>
        <v>216.7</v>
      </c>
      <c r="H74" s="30">
        <f t="shared" si="19"/>
        <v>690.8</v>
      </c>
      <c r="I74" s="244">
        <f>SUM(I68:I72)</f>
        <v>64.900000000000006</v>
      </c>
      <c r="J74" s="245">
        <f>SUM(J68:J72)</f>
        <v>73.7</v>
      </c>
      <c r="K74" s="30">
        <f t="shared" si="20"/>
        <v>138.60000000000002</v>
      </c>
      <c r="L74" s="244">
        <f>SUM(L68:L72)</f>
        <v>48.400000000000006</v>
      </c>
      <c r="M74" s="245">
        <f>SUM(M68:M72)</f>
        <v>13.2</v>
      </c>
      <c r="N74" s="30">
        <f t="shared" si="21"/>
        <v>61.600000000000009</v>
      </c>
      <c r="O74" s="250">
        <f>E74+H74+K74+N74</f>
        <v>1985.5</v>
      </c>
    </row>
    <row r="75" spans="1:15" ht="20.100000000000001" customHeight="1">
      <c r="A75" s="729"/>
      <c r="B75" s="730"/>
      <c r="C75" s="525"/>
      <c r="D75" s="526"/>
      <c r="E75" s="527"/>
      <c r="F75" s="526"/>
      <c r="G75" s="526"/>
      <c r="H75" s="527"/>
      <c r="I75" s="526"/>
      <c r="J75" s="526"/>
      <c r="K75" s="527"/>
      <c r="L75" s="526"/>
      <c r="M75" s="526"/>
      <c r="N75" s="527"/>
      <c r="O75" s="528"/>
    </row>
    <row r="76" spans="1:15" ht="20.100000000000001" customHeight="1">
      <c r="A76" s="1517" t="s">
        <v>878</v>
      </c>
      <c r="B76" s="1517"/>
      <c r="C76" s="1497" t="s">
        <v>1103</v>
      </c>
      <c r="D76" s="1498"/>
      <c r="E76" s="1498"/>
      <c r="F76" s="1498"/>
      <c r="G76" s="1498"/>
      <c r="H76" s="1498"/>
      <c r="I76" s="1499"/>
      <c r="J76" s="1499"/>
      <c r="K76" s="1499"/>
      <c r="L76" s="1499"/>
      <c r="M76" s="1499"/>
      <c r="N76" s="1499"/>
      <c r="O76" s="1500"/>
    </row>
    <row r="77" spans="1:15" ht="20.100000000000001" customHeight="1">
      <c r="A77" s="1517"/>
      <c r="B77" s="1517"/>
      <c r="C77" s="1501" t="s">
        <v>154</v>
      </c>
      <c r="D77" s="1502" t="s">
        <v>155</v>
      </c>
      <c r="E77" s="1503"/>
      <c r="F77" s="1504" t="s">
        <v>156</v>
      </c>
      <c r="G77" s="1505"/>
      <c r="H77" s="1506"/>
      <c r="I77" s="1507" t="s">
        <v>157</v>
      </c>
      <c r="J77" s="1508"/>
      <c r="K77" s="1509"/>
      <c r="L77" s="1501" t="s">
        <v>136</v>
      </c>
      <c r="M77" s="1502"/>
      <c r="N77" s="1503"/>
      <c r="O77" s="1510" t="s">
        <v>138</v>
      </c>
    </row>
    <row r="78" spans="1:15" ht="43.5" customHeight="1">
      <c r="A78" s="1517"/>
      <c r="B78" s="1517"/>
      <c r="C78" s="229" t="s">
        <v>140</v>
      </c>
      <c r="D78" s="230" t="s">
        <v>141</v>
      </c>
      <c r="E78" s="24" t="s">
        <v>138</v>
      </c>
      <c r="F78" s="229" t="s">
        <v>140</v>
      </c>
      <c r="G78" s="230" t="s">
        <v>141</v>
      </c>
      <c r="H78" s="24" t="s">
        <v>138</v>
      </c>
      <c r="I78" s="229" t="s">
        <v>140</v>
      </c>
      <c r="J78" s="230" t="s">
        <v>141</v>
      </c>
      <c r="K78" s="24" t="s">
        <v>138</v>
      </c>
      <c r="L78" s="229" t="s">
        <v>140</v>
      </c>
      <c r="M78" s="230" t="s">
        <v>141</v>
      </c>
      <c r="N78" s="24" t="s">
        <v>138</v>
      </c>
      <c r="O78" s="1511"/>
    </row>
    <row r="79" spans="1:15" ht="20.100000000000001" customHeight="1">
      <c r="A79" s="1476" t="s">
        <v>879</v>
      </c>
      <c r="B79" s="1478"/>
      <c r="C79" s="27"/>
      <c r="D79" s="27"/>
      <c r="E79" s="28"/>
      <c r="F79" s="27"/>
      <c r="G79" s="27"/>
      <c r="H79" s="28"/>
      <c r="I79" s="27"/>
      <c r="J79" s="27"/>
      <c r="K79" s="28"/>
      <c r="L79" s="27"/>
      <c r="M79" s="27"/>
      <c r="N79" s="28"/>
      <c r="O79" s="27"/>
    </row>
    <row r="80" spans="1:15" s="8" customFormat="1" ht="20.100000000000001" customHeight="1">
      <c r="A80" s="239">
        <v>1</v>
      </c>
      <c r="B80" s="241"/>
      <c r="C80" s="25"/>
      <c r="D80" s="25"/>
      <c r="E80" s="234">
        <f>C80+D80</f>
        <v>0</v>
      </c>
      <c r="F80" s="25"/>
      <c r="G80" s="25"/>
      <c r="H80" s="234">
        <f>F80+G80</f>
        <v>0</v>
      </c>
      <c r="I80" s="25"/>
      <c r="J80" s="25"/>
      <c r="K80" s="234">
        <f>I80+J80</f>
        <v>0</v>
      </c>
      <c r="L80" s="25"/>
      <c r="M80" s="25"/>
      <c r="N80" s="234">
        <f>L80+M80</f>
        <v>0</v>
      </c>
      <c r="O80" s="26">
        <f>M80+N80</f>
        <v>0</v>
      </c>
    </row>
    <row r="81" spans="1:15" s="8" customFormat="1" ht="20.100000000000001" customHeight="1">
      <c r="A81" s="240">
        <v>2</v>
      </c>
      <c r="B81" s="242"/>
      <c r="C81" s="236"/>
      <c r="D81" s="236"/>
      <c r="E81" s="237">
        <f>C81+D81</f>
        <v>0</v>
      </c>
      <c r="F81" s="236"/>
      <c r="G81" s="236"/>
      <c r="H81" s="237">
        <f>F81+G81</f>
        <v>0</v>
      </c>
      <c r="I81" s="236"/>
      <c r="J81" s="236"/>
      <c r="K81" s="237">
        <f>I81+J81</f>
        <v>0</v>
      </c>
      <c r="L81" s="236"/>
      <c r="M81" s="236"/>
      <c r="N81" s="237">
        <f>L81+M81</f>
        <v>0</v>
      </c>
      <c r="O81" s="238">
        <f>M81+N81</f>
        <v>0</v>
      </c>
    </row>
    <row r="82" spans="1:15" s="8" customFormat="1" ht="20.100000000000001" customHeight="1">
      <c r="A82" s="240">
        <v>3</v>
      </c>
      <c r="B82" s="242"/>
      <c r="C82" s="236"/>
      <c r="D82" s="236"/>
      <c r="E82" s="237">
        <f t="shared" ref="E82:E85" si="23">C82+D82</f>
        <v>0</v>
      </c>
      <c r="F82" s="236"/>
      <c r="G82" s="236"/>
      <c r="H82" s="237">
        <f t="shared" ref="H82:H85" si="24">F82+G82</f>
        <v>0</v>
      </c>
      <c r="I82" s="236"/>
      <c r="J82" s="236"/>
      <c r="K82" s="237">
        <f t="shared" ref="K82:K85" si="25">I82+J82</f>
        <v>0</v>
      </c>
      <c r="L82" s="236"/>
      <c r="M82" s="236"/>
      <c r="N82" s="237">
        <f t="shared" ref="N82:O85" si="26">L82+M82</f>
        <v>0</v>
      </c>
      <c r="O82" s="238">
        <f t="shared" si="26"/>
        <v>0</v>
      </c>
    </row>
    <row r="83" spans="1:15" s="8" customFormat="1" ht="20.100000000000001" customHeight="1">
      <c r="A83" s="240">
        <v>4</v>
      </c>
      <c r="B83" s="242"/>
      <c r="C83" s="236"/>
      <c r="D83" s="236"/>
      <c r="E83" s="237">
        <f t="shared" si="23"/>
        <v>0</v>
      </c>
      <c r="F83" s="236"/>
      <c r="G83" s="236"/>
      <c r="H83" s="237">
        <f t="shared" si="24"/>
        <v>0</v>
      </c>
      <c r="I83" s="236"/>
      <c r="J83" s="236"/>
      <c r="K83" s="237">
        <f t="shared" si="25"/>
        <v>0</v>
      </c>
      <c r="L83" s="236"/>
      <c r="M83" s="236"/>
      <c r="N83" s="237">
        <f t="shared" si="26"/>
        <v>0</v>
      </c>
      <c r="O83" s="238">
        <f t="shared" si="26"/>
        <v>0</v>
      </c>
    </row>
    <row r="84" spans="1:15" s="8" customFormat="1" ht="20.100000000000001" customHeight="1">
      <c r="A84" s="240">
        <v>5</v>
      </c>
      <c r="B84" s="242"/>
      <c r="C84" s="236"/>
      <c r="D84" s="236"/>
      <c r="E84" s="237">
        <f t="shared" si="23"/>
        <v>0</v>
      </c>
      <c r="F84" s="236"/>
      <c r="G84" s="236"/>
      <c r="H84" s="237">
        <f t="shared" si="24"/>
        <v>0</v>
      </c>
      <c r="I84" s="236"/>
      <c r="J84" s="236"/>
      <c r="K84" s="237">
        <f t="shared" si="25"/>
        <v>0</v>
      </c>
      <c r="L84" s="236"/>
      <c r="M84" s="236"/>
      <c r="N84" s="237">
        <f t="shared" si="26"/>
        <v>0</v>
      </c>
      <c r="O84" s="238">
        <f t="shared" si="26"/>
        <v>0</v>
      </c>
    </row>
    <row r="85" spans="1:15" s="8" customFormat="1" ht="20.100000000000001" customHeight="1">
      <c r="A85" s="269">
        <v>6</v>
      </c>
      <c r="B85" s="243"/>
      <c r="C85" s="235"/>
      <c r="D85" s="235"/>
      <c r="E85" s="196">
        <f t="shared" si="23"/>
        <v>0</v>
      </c>
      <c r="F85" s="235"/>
      <c r="G85" s="235"/>
      <c r="H85" s="196">
        <f t="shared" si="24"/>
        <v>0</v>
      </c>
      <c r="I85" s="235"/>
      <c r="J85" s="235"/>
      <c r="K85" s="196">
        <f t="shared" si="25"/>
        <v>0</v>
      </c>
      <c r="L85" s="235"/>
      <c r="M85" s="235"/>
      <c r="N85" s="196">
        <f t="shared" si="26"/>
        <v>0</v>
      </c>
      <c r="O85" s="29">
        <f t="shared" si="26"/>
        <v>0</v>
      </c>
    </row>
    <row r="86" spans="1:15" ht="20.100000000000001" customHeight="1">
      <c r="A86" s="1512" t="s">
        <v>893</v>
      </c>
      <c r="B86" s="1513"/>
      <c r="C86" s="231">
        <f>SUM(C80:C84)</f>
        <v>0</v>
      </c>
      <c r="D86" s="232">
        <f>SUM(D80:D84)</f>
        <v>0</v>
      </c>
      <c r="E86" s="233">
        <f>C86+D86</f>
        <v>0</v>
      </c>
      <c r="F86" s="231">
        <f>SUM(F80:F84)</f>
        <v>0</v>
      </c>
      <c r="G86" s="232">
        <f>SUM(G80:G84)</f>
        <v>0</v>
      </c>
      <c r="H86" s="233">
        <f>F86+G86</f>
        <v>0</v>
      </c>
      <c r="I86" s="231">
        <f>SUM(I80:I84)</f>
        <v>0</v>
      </c>
      <c r="J86" s="232">
        <f>SUM(J80:J84)</f>
        <v>0</v>
      </c>
      <c r="K86" s="233">
        <f>I86+J86</f>
        <v>0</v>
      </c>
      <c r="L86" s="231">
        <f>SUM(L80:L84)</f>
        <v>0</v>
      </c>
      <c r="M86" s="232">
        <f>SUM(M80:M84)</f>
        <v>0</v>
      </c>
      <c r="N86" s="233">
        <f>L86+M86</f>
        <v>0</v>
      </c>
      <c r="O86" s="249">
        <f>E86+H86+K86+N86</f>
        <v>0</v>
      </c>
    </row>
    <row r="87" spans="1:15" ht="20.100000000000001" customHeight="1">
      <c r="A87" s="1476" t="s">
        <v>149</v>
      </c>
      <c r="B87" s="1478"/>
      <c r="C87" s="27"/>
      <c r="D87" s="27"/>
      <c r="E87" s="28"/>
      <c r="F87" s="27"/>
      <c r="G87" s="27"/>
      <c r="H87" s="28"/>
      <c r="I87" s="27"/>
      <c r="J87" s="27"/>
      <c r="K87" s="28"/>
      <c r="L87" s="27"/>
      <c r="M87" s="27"/>
      <c r="N87" s="28"/>
      <c r="O87" s="27"/>
    </row>
    <row r="88" spans="1:15" s="8" customFormat="1" ht="20.100000000000001" customHeight="1">
      <c r="A88" s="239">
        <v>1</v>
      </c>
      <c r="B88" s="241"/>
      <c r="C88" s="25"/>
      <c r="D88" s="25"/>
      <c r="E88" s="234">
        <f>C88+D88</f>
        <v>0</v>
      </c>
      <c r="F88" s="25"/>
      <c r="G88" s="25"/>
      <c r="H88" s="234">
        <f>F88+G88</f>
        <v>0</v>
      </c>
      <c r="I88" s="25"/>
      <c r="J88" s="25"/>
      <c r="K88" s="234">
        <f>I88+J88</f>
        <v>0</v>
      </c>
      <c r="L88" s="25"/>
      <c r="M88" s="25"/>
      <c r="N88" s="234">
        <f>L88+M88</f>
        <v>0</v>
      </c>
      <c r="O88" s="26">
        <f>M88+N88</f>
        <v>0</v>
      </c>
    </row>
    <row r="89" spans="1:15" s="8" customFormat="1" ht="20.100000000000001" customHeight="1">
      <c r="A89" s="240">
        <v>2</v>
      </c>
      <c r="B89" s="242"/>
      <c r="C89" s="236"/>
      <c r="D89" s="236"/>
      <c r="E89" s="237">
        <f>C89+D89</f>
        <v>0</v>
      </c>
      <c r="F89" s="236"/>
      <c r="G89" s="236"/>
      <c r="H89" s="237">
        <f>F89+G89</f>
        <v>0</v>
      </c>
      <c r="I89" s="236"/>
      <c r="J89" s="236"/>
      <c r="K89" s="237">
        <f>I89+J89</f>
        <v>0</v>
      </c>
      <c r="L89" s="236"/>
      <c r="M89" s="236"/>
      <c r="N89" s="237">
        <f>L89+M89</f>
        <v>0</v>
      </c>
      <c r="O89" s="238">
        <f>M89+N89</f>
        <v>0</v>
      </c>
    </row>
    <row r="90" spans="1:15" s="8" customFormat="1" ht="20.100000000000001" customHeight="1">
      <c r="A90" s="240">
        <v>3</v>
      </c>
      <c r="B90" s="242"/>
      <c r="C90" s="236"/>
      <c r="D90" s="236"/>
      <c r="E90" s="237">
        <f t="shared" ref="E90:E93" si="27">C90+D90</f>
        <v>0</v>
      </c>
      <c r="F90" s="236"/>
      <c r="G90" s="236"/>
      <c r="H90" s="237">
        <f t="shared" ref="H90:H93" si="28">F90+G90</f>
        <v>0</v>
      </c>
      <c r="I90" s="236"/>
      <c r="J90" s="236"/>
      <c r="K90" s="237">
        <f t="shared" ref="K90:K93" si="29">I90+J90</f>
        <v>0</v>
      </c>
      <c r="L90" s="236"/>
      <c r="M90" s="236"/>
      <c r="N90" s="237">
        <f t="shared" ref="N90:O93" si="30">L90+M90</f>
        <v>0</v>
      </c>
      <c r="O90" s="238">
        <f t="shared" si="30"/>
        <v>0</v>
      </c>
    </row>
    <row r="91" spans="1:15" s="8" customFormat="1" ht="20.100000000000001" customHeight="1">
      <c r="A91" s="240">
        <v>4</v>
      </c>
      <c r="B91" s="242"/>
      <c r="C91" s="236"/>
      <c r="D91" s="236"/>
      <c r="E91" s="237">
        <f t="shared" si="27"/>
        <v>0</v>
      </c>
      <c r="F91" s="236"/>
      <c r="G91" s="236"/>
      <c r="H91" s="237">
        <f t="shared" si="28"/>
        <v>0</v>
      </c>
      <c r="I91" s="236"/>
      <c r="J91" s="236"/>
      <c r="K91" s="237">
        <f t="shared" si="29"/>
        <v>0</v>
      </c>
      <c r="L91" s="236"/>
      <c r="M91" s="236"/>
      <c r="N91" s="237">
        <f t="shared" si="30"/>
        <v>0</v>
      </c>
      <c r="O91" s="238">
        <f t="shared" si="30"/>
        <v>0</v>
      </c>
    </row>
    <row r="92" spans="1:15" s="8" customFormat="1" ht="20.100000000000001" customHeight="1">
      <c r="A92" s="240">
        <v>5</v>
      </c>
      <c r="B92" s="242"/>
      <c r="C92" s="236"/>
      <c r="D92" s="236"/>
      <c r="E92" s="237">
        <f t="shared" si="27"/>
        <v>0</v>
      </c>
      <c r="F92" s="236"/>
      <c r="G92" s="236"/>
      <c r="H92" s="237">
        <f t="shared" si="28"/>
        <v>0</v>
      </c>
      <c r="I92" s="236"/>
      <c r="J92" s="236"/>
      <c r="K92" s="237">
        <f t="shared" si="29"/>
        <v>0</v>
      </c>
      <c r="L92" s="236"/>
      <c r="M92" s="236"/>
      <c r="N92" s="237">
        <f t="shared" si="30"/>
        <v>0</v>
      </c>
      <c r="O92" s="238">
        <f t="shared" si="30"/>
        <v>0</v>
      </c>
    </row>
    <row r="93" spans="1:15" s="8" customFormat="1" ht="20.100000000000001" customHeight="1">
      <c r="A93" s="269">
        <v>6</v>
      </c>
      <c r="B93" s="243"/>
      <c r="C93" s="235"/>
      <c r="D93" s="235"/>
      <c r="E93" s="196">
        <f t="shared" si="27"/>
        <v>0</v>
      </c>
      <c r="F93" s="235"/>
      <c r="G93" s="235"/>
      <c r="H93" s="196">
        <f t="shared" si="28"/>
        <v>0</v>
      </c>
      <c r="I93" s="235"/>
      <c r="J93" s="235"/>
      <c r="K93" s="196">
        <f t="shared" si="29"/>
        <v>0</v>
      </c>
      <c r="L93" s="235"/>
      <c r="M93" s="235"/>
      <c r="N93" s="196">
        <f t="shared" si="30"/>
        <v>0</v>
      </c>
      <c r="O93" s="29">
        <f t="shared" si="30"/>
        <v>0</v>
      </c>
    </row>
    <row r="94" spans="1:15" ht="20.100000000000001" customHeight="1">
      <c r="A94" s="1512" t="s">
        <v>893</v>
      </c>
      <c r="B94" s="1513"/>
      <c r="C94" s="231">
        <f>SUM(C88:C92)</f>
        <v>0</v>
      </c>
      <c r="D94" s="232">
        <f>SUM(D88:D92)</f>
        <v>0</v>
      </c>
      <c r="E94" s="233">
        <f>C94+D94</f>
        <v>0</v>
      </c>
      <c r="F94" s="231">
        <f>SUM(F88:F92)</f>
        <v>0</v>
      </c>
      <c r="G94" s="232">
        <f>SUM(G88:G92)</f>
        <v>0</v>
      </c>
      <c r="H94" s="233">
        <f>F94+G94</f>
        <v>0</v>
      </c>
      <c r="I94" s="231">
        <f>SUM(I88:I92)</f>
        <v>0</v>
      </c>
      <c r="J94" s="232">
        <f>SUM(J88:J92)</f>
        <v>0</v>
      </c>
      <c r="K94" s="233">
        <f>I94+J94</f>
        <v>0</v>
      </c>
      <c r="L94" s="231">
        <f>SUM(L88:L92)</f>
        <v>0</v>
      </c>
      <c r="M94" s="232">
        <f>SUM(M88:M92)</f>
        <v>0</v>
      </c>
      <c r="N94" s="233">
        <f>L94+M94</f>
        <v>0</v>
      </c>
      <c r="O94" s="249">
        <f>E94+H94+K94+N94</f>
        <v>0</v>
      </c>
    </row>
    <row r="95" spans="1:15" ht="20.100000000000001" customHeight="1">
      <c r="A95" s="1476" t="s">
        <v>150</v>
      </c>
      <c r="B95" s="1478"/>
      <c r="C95" s="27"/>
      <c r="D95" s="27"/>
      <c r="E95" s="28"/>
      <c r="F95" s="27"/>
      <c r="G95" s="27"/>
      <c r="H95" s="28"/>
      <c r="I95" s="27"/>
      <c r="J95" s="27"/>
      <c r="K95" s="28"/>
      <c r="L95" s="27"/>
      <c r="M95" s="27"/>
      <c r="N95" s="28"/>
      <c r="O95" s="27"/>
    </row>
    <row r="96" spans="1:15" s="8" customFormat="1" ht="20.100000000000001" customHeight="1">
      <c r="A96" s="239">
        <v>1</v>
      </c>
      <c r="B96" s="241"/>
      <c r="C96" s="25"/>
      <c r="D96" s="25"/>
      <c r="E96" s="234">
        <f>C96+D96</f>
        <v>0</v>
      </c>
      <c r="F96" s="25"/>
      <c r="G96" s="25"/>
      <c r="H96" s="234">
        <f>F96+G96</f>
        <v>0</v>
      </c>
      <c r="I96" s="25"/>
      <c r="J96" s="25"/>
      <c r="K96" s="234">
        <f>I96+J96</f>
        <v>0</v>
      </c>
      <c r="L96" s="25"/>
      <c r="M96" s="25"/>
      <c r="N96" s="234">
        <f>L96+M96</f>
        <v>0</v>
      </c>
      <c r="O96" s="26">
        <f>M96+N96</f>
        <v>0</v>
      </c>
    </row>
    <row r="97" spans="1:15" s="8" customFormat="1" ht="20.100000000000001" customHeight="1">
      <c r="A97" s="240">
        <v>2</v>
      </c>
      <c r="B97" s="242"/>
      <c r="C97" s="236"/>
      <c r="D97" s="236"/>
      <c r="E97" s="237">
        <f>C97+D97</f>
        <v>0</v>
      </c>
      <c r="F97" s="236"/>
      <c r="G97" s="236"/>
      <c r="H97" s="237">
        <f>F97+G97</f>
        <v>0</v>
      </c>
      <c r="I97" s="236"/>
      <c r="J97" s="236"/>
      <c r="K97" s="237">
        <f>I97+J97</f>
        <v>0</v>
      </c>
      <c r="L97" s="236"/>
      <c r="M97" s="236"/>
      <c r="N97" s="237">
        <f>L97+M97</f>
        <v>0</v>
      </c>
      <c r="O97" s="238">
        <f>M97+N97</f>
        <v>0</v>
      </c>
    </row>
    <row r="98" spans="1:15" s="8" customFormat="1" ht="20.100000000000001" customHeight="1">
      <c r="A98" s="240">
        <v>3</v>
      </c>
      <c r="B98" s="242"/>
      <c r="C98" s="236"/>
      <c r="D98" s="236"/>
      <c r="E98" s="237">
        <f t="shared" ref="E98:E101" si="31">C98+D98</f>
        <v>0</v>
      </c>
      <c r="F98" s="236"/>
      <c r="G98" s="236"/>
      <c r="H98" s="237">
        <f t="shared" ref="H98:H101" si="32">F98+G98</f>
        <v>0</v>
      </c>
      <c r="I98" s="236"/>
      <c r="J98" s="236"/>
      <c r="K98" s="237">
        <f t="shared" ref="K98:K101" si="33">I98+J98</f>
        <v>0</v>
      </c>
      <c r="L98" s="236"/>
      <c r="M98" s="236"/>
      <c r="N98" s="237">
        <f t="shared" ref="N98:O101" si="34">L98+M98</f>
        <v>0</v>
      </c>
      <c r="O98" s="238">
        <f t="shared" si="34"/>
        <v>0</v>
      </c>
    </row>
    <row r="99" spans="1:15" s="8" customFormat="1" ht="20.100000000000001" customHeight="1">
      <c r="A99" s="240">
        <v>4</v>
      </c>
      <c r="B99" s="242"/>
      <c r="C99" s="236"/>
      <c r="D99" s="236"/>
      <c r="E99" s="237">
        <f t="shared" si="31"/>
        <v>0</v>
      </c>
      <c r="F99" s="236"/>
      <c r="G99" s="236"/>
      <c r="H99" s="237">
        <f t="shared" si="32"/>
        <v>0</v>
      </c>
      <c r="I99" s="236"/>
      <c r="J99" s="236"/>
      <c r="K99" s="237">
        <f t="shared" si="33"/>
        <v>0</v>
      </c>
      <c r="L99" s="236"/>
      <c r="M99" s="236"/>
      <c r="N99" s="237">
        <f t="shared" si="34"/>
        <v>0</v>
      </c>
      <c r="O99" s="238">
        <f t="shared" si="34"/>
        <v>0</v>
      </c>
    </row>
    <row r="100" spans="1:15" s="8" customFormat="1" ht="20.100000000000001" customHeight="1">
      <c r="A100" s="240">
        <v>5</v>
      </c>
      <c r="B100" s="242"/>
      <c r="C100" s="236"/>
      <c r="D100" s="236"/>
      <c r="E100" s="237">
        <f t="shared" si="31"/>
        <v>0</v>
      </c>
      <c r="F100" s="236"/>
      <c r="G100" s="236"/>
      <c r="H100" s="237">
        <f t="shared" si="32"/>
        <v>0</v>
      </c>
      <c r="I100" s="236"/>
      <c r="J100" s="236"/>
      <c r="K100" s="237">
        <f t="shared" si="33"/>
        <v>0</v>
      </c>
      <c r="L100" s="236"/>
      <c r="M100" s="236"/>
      <c r="N100" s="237">
        <f t="shared" si="34"/>
        <v>0</v>
      </c>
      <c r="O100" s="238">
        <f t="shared" si="34"/>
        <v>0</v>
      </c>
    </row>
    <row r="101" spans="1:15" s="8" customFormat="1" ht="20.100000000000001" customHeight="1">
      <c r="A101" s="269">
        <v>6</v>
      </c>
      <c r="B101" s="243"/>
      <c r="C101" s="235"/>
      <c r="D101" s="235"/>
      <c r="E101" s="196">
        <f t="shared" si="31"/>
        <v>0</v>
      </c>
      <c r="F101" s="235"/>
      <c r="G101" s="235"/>
      <c r="H101" s="196">
        <f t="shared" si="32"/>
        <v>0</v>
      </c>
      <c r="I101" s="235"/>
      <c r="J101" s="235"/>
      <c r="K101" s="196">
        <f t="shared" si="33"/>
        <v>0</v>
      </c>
      <c r="L101" s="235"/>
      <c r="M101" s="235"/>
      <c r="N101" s="196">
        <f t="shared" si="34"/>
        <v>0</v>
      </c>
      <c r="O101" s="29">
        <f t="shared" si="34"/>
        <v>0</v>
      </c>
    </row>
    <row r="102" spans="1:15" ht="20.100000000000001" customHeight="1">
      <c r="A102" s="1512" t="s">
        <v>893</v>
      </c>
      <c r="B102" s="1513"/>
      <c r="C102" s="231">
        <f>SUM(C96:C100)</f>
        <v>0</v>
      </c>
      <c r="D102" s="232">
        <f>SUM(D96:D100)</f>
        <v>0</v>
      </c>
      <c r="E102" s="233">
        <f>C102+D102</f>
        <v>0</v>
      </c>
      <c r="F102" s="231">
        <f>SUM(F96:F100)</f>
        <v>0</v>
      </c>
      <c r="G102" s="232">
        <f>SUM(G96:G100)</f>
        <v>0</v>
      </c>
      <c r="H102" s="233">
        <f>F102+G102</f>
        <v>0</v>
      </c>
      <c r="I102" s="231">
        <f>SUM(I96:I100)</f>
        <v>0</v>
      </c>
      <c r="J102" s="232">
        <f>SUM(J96:J100)</f>
        <v>0</v>
      </c>
      <c r="K102" s="233">
        <f>I102+J102</f>
        <v>0</v>
      </c>
      <c r="L102" s="231">
        <f>SUM(L96:L100)</f>
        <v>0</v>
      </c>
      <c r="M102" s="232">
        <f>SUM(M96:M100)</f>
        <v>0</v>
      </c>
      <c r="N102" s="233">
        <f>L102+M102</f>
        <v>0</v>
      </c>
      <c r="O102" s="249">
        <f>E102+H102+K102+N102</f>
        <v>0</v>
      </c>
    </row>
    <row r="103" spans="1:15" ht="20.100000000000001" customHeight="1">
      <c r="A103" s="1476" t="s">
        <v>151</v>
      </c>
      <c r="B103" s="1478"/>
      <c r="C103" s="27"/>
      <c r="D103" s="27"/>
      <c r="E103" s="28"/>
      <c r="F103" s="27"/>
      <c r="G103" s="27"/>
      <c r="H103" s="28"/>
      <c r="I103" s="27"/>
      <c r="J103" s="27"/>
      <c r="K103" s="28"/>
      <c r="L103" s="27"/>
      <c r="M103" s="27"/>
      <c r="N103" s="28"/>
      <c r="O103" s="27"/>
    </row>
    <row r="104" spans="1:15" s="8" customFormat="1" ht="20.100000000000001" customHeight="1">
      <c r="A104" s="239">
        <v>1</v>
      </c>
      <c r="B104" s="241"/>
      <c r="C104" s="25"/>
      <c r="D104" s="25"/>
      <c r="E104" s="234">
        <f>C104+D104</f>
        <v>0</v>
      </c>
      <c r="F104" s="25"/>
      <c r="G104" s="25"/>
      <c r="H104" s="234">
        <f>F104+G104</f>
        <v>0</v>
      </c>
      <c r="I104" s="25"/>
      <c r="J104" s="25"/>
      <c r="K104" s="234">
        <f>I104+J104</f>
        <v>0</v>
      </c>
      <c r="L104" s="25"/>
      <c r="M104" s="25"/>
      <c r="N104" s="234">
        <f>L104+M104</f>
        <v>0</v>
      </c>
      <c r="O104" s="26">
        <f>M104+N104</f>
        <v>0</v>
      </c>
    </row>
    <row r="105" spans="1:15" s="8" customFormat="1" ht="20.100000000000001" customHeight="1">
      <c r="A105" s="240">
        <v>2</v>
      </c>
      <c r="B105" s="242"/>
      <c r="C105" s="236"/>
      <c r="D105" s="236"/>
      <c r="E105" s="237">
        <f>C105+D105</f>
        <v>0</v>
      </c>
      <c r="F105" s="236"/>
      <c r="G105" s="236"/>
      <c r="H105" s="237">
        <f>F105+G105</f>
        <v>0</v>
      </c>
      <c r="I105" s="236"/>
      <c r="J105" s="236"/>
      <c r="K105" s="237">
        <f>I105+J105</f>
        <v>0</v>
      </c>
      <c r="L105" s="236"/>
      <c r="M105" s="236"/>
      <c r="N105" s="237">
        <f>L105+M105</f>
        <v>0</v>
      </c>
      <c r="O105" s="238">
        <f>M105+N105</f>
        <v>0</v>
      </c>
    </row>
    <row r="106" spans="1:15" s="8" customFormat="1" ht="20.100000000000001" customHeight="1">
      <c r="A106" s="240">
        <v>3</v>
      </c>
      <c r="B106" s="242"/>
      <c r="C106" s="236"/>
      <c r="D106" s="236"/>
      <c r="E106" s="237">
        <f t="shared" ref="E106:E109" si="35">C106+D106</f>
        <v>0</v>
      </c>
      <c r="F106" s="236"/>
      <c r="G106" s="236"/>
      <c r="H106" s="237">
        <f t="shared" ref="H106:H109" si="36">F106+G106</f>
        <v>0</v>
      </c>
      <c r="I106" s="236"/>
      <c r="J106" s="236"/>
      <c r="K106" s="237">
        <f t="shared" ref="K106:K109" si="37">I106+J106</f>
        <v>0</v>
      </c>
      <c r="L106" s="236"/>
      <c r="M106" s="236"/>
      <c r="N106" s="237">
        <f t="shared" ref="N106:O109" si="38">L106+M106</f>
        <v>0</v>
      </c>
      <c r="O106" s="238">
        <f t="shared" si="38"/>
        <v>0</v>
      </c>
    </row>
    <row r="107" spans="1:15" s="8" customFormat="1" ht="20.100000000000001" customHeight="1">
      <c r="A107" s="240">
        <v>4</v>
      </c>
      <c r="B107" s="242"/>
      <c r="C107" s="236"/>
      <c r="D107" s="236"/>
      <c r="E107" s="237">
        <f t="shared" si="35"/>
        <v>0</v>
      </c>
      <c r="F107" s="236"/>
      <c r="G107" s="236"/>
      <c r="H107" s="237">
        <f t="shared" si="36"/>
        <v>0</v>
      </c>
      <c r="I107" s="236"/>
      <c r="J107" s="236"/>
      <c r="K107" s="237">
        <f t="shared" si="37"/>
        <v>0</v>
      </c>
      <c r="L107" s="236"/>
      <c r="M107" s="236"/>
      <c r="N107" s="237">
        <f t="shared" si="38"/>
        <v>0</v>
      </c>
      <c r="O107" s="238">
        <f t="shared" si="38"/>
        <v>0</v>
      </c>
    </row>
    <row r="108" spans="1:15" s="8" customFormat="1" ht="20.100000000000001" customHeight="1">
      <c r="A108" s="240">
        <v>5</v>
      </c>
      <c r="B108" s="242"/>
      <c r="C108" s="236"/>
      <c r="D108" s="236"/>
      <c r="E108" s="237">
        <f t="shared" si="35"/>
        <v>0</v>
      </c>
      <c r="F108" s="236"/>
      <c r="G108" s="236"/>
      <c r="H108" s="237">
        <f t="shared" si="36"/>
        <v>0</v>
      </c>
      <c r="I108" s="236"/>
      <c r="J108" s="236"/>
      <c r="K108" s="237">
        <f t="shared" si="37"/>
        <v>0</v>
      </c>
      <c r="L108" s="236"/>
      <c r="M108" s="236"/>
      <c r="N108" s="237">
        <f t="shared" si="38"/>
        <v>0</v>
      </c>
      <c r="O108" s="238">
        <f t="shared" si="38"/>
        <v>0</v>
      </c>
    </row>
    <row r="109" spans="1:15" s="8" customFormat="1" ht="20.100000000000001" customHeight="1">
      <c r="A109" s="269">
        <v>6</v>
      </c>
      <c r="B109" s="243"/>
      <c r="C109" s="235"/>
      <c r="D109" s="235"/>
      <c r="E109" s="196">
        <f t="shared" si="35"/>
        <v>0</v>
      </c>
      <c r="F109" s="235"/>
      <c r="G109" s="235"/>
      <c r="H109" s="196">
        <f t="shared" si="36"/>
        <v>0</v>
      </c>
      <c r="I109" s="235"/>
      <c r="J109" s="235"/>
      <c r="K109" s="196">
        <f t="shared" si="37"/>
        <v>0</v>
      </c>
      <c r="L109" s="235"/>
      <c r="M109" s="235"/>
      <c r="N109" s="196">
        <f t="shared" si="38"/>
        <v>0</v>
      </c>
      <c r="O109" s="29">
        <f t="shared" si="38"/>
        <v>0</v>
      </c>
    </row>
    <row r="110" spans="1:15" ht="20.100000000000001" customHeight="1">
      <c r="A110" s="1514" t="s">
        <v>893</v>
      </c>
      <c r="B110" s="1515"/>
      <c r="C110" s="231">
        <f>SUM(C104:C108)</f>
        <v>0</v>
      </c>
      <c r="D110" s="232">
        <f>SUM(D104:D108)</f>
        <v>0</v>
      </c>
      <c r="E110" s="233">
        <f>C110+D110</f>
        <v>0</v>
      </c>
      <c r="F110" s="231">
        <f>SUM(F104:F108)</f>
        <v>0</v>
      </c>
      <c r="G110" s="232">
        <f>SUM(G104:G108)</f>
        <v>0</v>
      </c>
      <c r="H110" s="233">
        <f>F110+G110</f>
        <v>0</v>
      </c>
      <c r="I110" s="231">
        <f>SUM(I104:I108)</f>
        <v>0</v>
      </c>
      <c r="J110" s="232">
        <f>SUM(J104:J108)</f>
        <v>0</v>
      </c>
      <c r="K110" s="233">
        <f>I110+J110</f>
        <v>0</v>
      </c>
      <c r="L110" s="231">
        <f>SUM(L104:L108)</f>
        <v>0</v>
      </c>
      <c r="M110" s="232">
        <f>SUM(M104:M108)</f>
        <v>0</v>
      </c>
      <c r="N110" s="233">
        <f>L110+M110</f>
        <v>0</v>
      </c>
      <c r="O110" s="251">
        <f>E110+H110+K110+N110</f>
        <v>0</v>
      </c>
    </row>
    <row r="111" spans="1:15" ht="21.75" customHeight="1">
      <c r="A111" s="1516" t="s">
        <v>980</v>
      </c>
      <c r="B111" s="1516"/>
      <c r="C111" s="344">
        <f>C16+C33+C42+C50+C66+C86+C94+C102+C110+C74</f>
        <v>3733.4</v>
      </c>
      <c r="D111" s="344">
        <f t="shared" ref="D111:O111" si="39">D16+D33+D42+D50+D66+D86+D94+D102+D110+D74</f>
        <v>2554.2000000000003</v>
      </c>
      <c r="E111" s="344">
        <f t="shared" si="39"/>
        <v>6287.6</v>
      </c>
      <c r="F111" s="344">
        <f t="shared" si="39"/>
        <v>2352.9</v>
      </c>
      <c r="G111" s="344">
        <f t="shared" si="39"/>
        <v>1563.1000000000001</v>
      </c>
      <c r="H111" s="344">
        <f t="shared" si="39"/>
        <v>3916</v>
      </c>
      <c r="I111" s="344">
        <f t="shared" si="39"/>
        <v>1211.5</v>
      </c>
      <c r="J111" s="344">
        <f t="shared" si="39"/>
        <v>667.4</v>
      </c>
      <c r="K111" s="344">
        <f t="shared" si="39"/>
        <v>1878.9</v>
      </c>
      <c r="L111" s="344">
        <f t="shared" si="39"/>
        <v>688.9</v>
      </c>
      <c r="M111" s="344">
        <f t="shared" si="39"/>
        <v>275.90000000000003</v>
      </c>
      <c r="N111" s="344">
        <f t="shared" si="39"/>
        <v>964.80000000000007</v>
      </c>
      <c r="O111" s="344">
        <f t="shared" si="39"/>
        <v>13047.3</v>
      </c>
    </row>
    <row r="112" spans="1:15" ht="49.5" customHeight="1">
      <c r="A112" s="1406" t="s">
        <v>1104</v>
      </c>
      <c r="B112" s="1406"/>
      <c r="C112" s="1406"/>
      <c r="D112" s="1406"/>
      <c r="E112" s="1406"/>
      <c r="F112" s="1406"/>
      <c r="G112" s="1406"/>
      <c r="H112" s="1406"/>
      <c r="I112" s="1406"/>
      <c r="J112" s="1406"/>
      <c r="K112" s="1406"/>
      <c r="L112" s="1406"/>
      <c r="M112" s="1406"/>
      <c r="N112" s="1406"/>
      <c r="O112" s="1406"/>
    </row>
    <row r="113" spans="1:15" ht="12.75">
      <c r="B113" s="1407"/>
      <c r="C113" s="1407"/>
      <c r="D113" s="1407"/>
      <c r="E113" s="1407"/>
      <c r="F113" s="1407"/>
      <c r="G113" s="1407"/>
      <c r="H113" s="1407"/>
      <c r="I113" s="10"/>
      <c r="J113" s="10"/>
      <c r="K113" s="10"/>
      <c r="L113" s="10"/>
      <c r="M113" s="10"/>
      <c r="N113" s="10"/>
      <c r="O113" s="10"/>
    </row>
    <row r="114" spans="1:15" ht="15.75">
      <c r="A114" s="183" t="s">
        <v>867</v>
      </c>
      <c r="B114" s="184"/>
      <c r="C114" s="1529"/>
      <c r="D114" s="1529"/>
      <c r="E114" s="1529"/>
      <c r="F114" s="1529"/>
      <c r="G114" s="1529"/>
      <c r="H114" s="1529"/>
      <c r="I114" s="1529"/>
      <c r="J114" s="1529"/>
      <c r="K114" s="1529"/>
      <c r="L114" s="1529"/>
      <c r="M114" s="1529"/>
      <c r="N114" s="1529"/>
      <c r="O114" s="1529"/>
    </row>
    <row r="115" spans="1:15">
      <c r="B115" s="228"/>
      <c r="C115" s="20"/>
      <c r="D115" s="20"/>
      <c r="E115" s="20"/>
      <c r="F115" s="20"/>
      <c r="G115" s="20"/>
      <c r="H115" s="20"/>
      <c r="I115" s="10"/>
      <c r="J115" s="10"/>
      <c r="K115" s="10"/>
      <c r="L115" s="10"/>
      <c r="M115" s="10"/>
      <c r="N115" s="10"/>
      <c r="O115" s="10"/>
    </row>
    <row r="116" spans="1:15" ht="12.75">
      <c r="A116" s="1517" t="s">
        <v>878</v>
      </c>
      <c r="B116" s="1517"/>
      <c r="C116" s="1497" t="s">
        <v>1103</v>
      </c>
      <c r="D116" s="1498"/>
      <c r="E116" s="1498"/>
      <c r="F116" s="1498"/>
      <c r="G116" s="1498"/>
      <c r="H116" s="1498"/>
      <c r="I116" s="1499"/>
      <c r="J116" s="1499"/>
      <c r="K116" s="1499"/>
      <c r="L116" s="1499"/>
      <c r="M116" s="1499"/>
      <c r="N116" s="1499"/>
      <c r="O116" s="1500"/>
    </row>
    <row r="117" spans="1:15" ht="12.75">
      <c r="A117" s="1517"/>
      <c r="B117" s="1517"/>
      <c r="C117" s="1501" t="s">
        <v>154</v>
      </c>
      <c r="D117" s="1502" t="s">
        <v>155</v>
      </c>
      <c r="E117" s="1503"/>
      <c r="F117" s="1504" t="s">
        <v>156</v>
      </c>
      <c r="G117" s="1505"/>
      <c r="H117" s="1506"/>
      <c r="I117" s="1507" t="s">
        <v>157</v>
      </c>
      <c r="J117" s="1508"/>
      <c r="K117" s="1509"/>
      <c r="L117" s="1501" t="s">
        <v>136</v>
      </c>
      <c r="M117" s="1502"/>
      <c r="N117" s="1503"/>
      <c r="O117" s="1510" t="s">
        <v>138</v>
      </c>
    </row>
    <row r="118" spans="1:15" ht="41.25" customHeight="1">
      <c r="A118" s="1517"/>
      <c r="B118" s="1517"/>
      <c r="C118" s="229" t="s">
        <v>140</v>
      </c>
      <c r="D118" s="230" t="s">
        <v>141</v>
      </c>
      <c r="E118" s="24" t="s">
        <v>138</v>
      </c>
      <c r="F118" s="229" t="s">
        <v>140</v>
      </c>
      <c r="G118" s="230" t="s">
        <v>141</v>
      </c>
      <c r="H118" s="24" t="s">
        <v>138</v>
      </c>
      <c r="I118" s="229" t="s">
        <v>140</v>
      </c>
      <c r="J118" s="230" t="s">
        <v>141</v>
      </c>
      <c r="K118" s="24" t="s">
        <v>138</v>
      </c>
      <c r="L118" s="229" t="s">
        <v>140</v>
      </c>
      <c r="M118" s="230" t="s">
        <v>141</v>
      </c>
      <c r="N118" s="24" t="s">
        <v>138</v>
      </c>
      <c r="O118" s="1511"/>
    </row>
    <row r="119" spans="1:15" ht="15" customHeight="1">
      <c r="A119" s="1518" t="s">
        <v>142</v>
      </c>
      <c r="B119" s="1518"/>
      <c r="C119" s="1519"/>
      <c r="D119" s="1520"/>
      <c r="E119" s="1521"/>
      <c r="F119" s="1522"/>
      <c r="G119" s="1523"/>
      <c r="H119" s="1524"/>
      <c r="I119" s="1519"/>
      <c r="J119" s="1525"/>
      <c r="K119" s="1526"/>
      <c r="L119" s="1519"/>
      <c r="M119" s="1525"/>
      <c r="N119" s="1526"/>
      <c r="O119" s="248"/>
    </row>
    <row r="120" spans="1:15" ht="20.100000000000001" customHeight="1">
      <c r="A120" s="239">
        <v>1</v>
      </c>
      <c r="B120" s="520" t="s">
        <v>344</v>
      </c>
      <c r="C120" s="25"/>
      <c r="D120" s="25"/>
      <c r="E120" s="234">
        <f>C120+D120</f>
        <v>0</v>
      </c>
      <c r="F120" s="25"/>
      <c r="G120" s="25"/>
      <c r="H120" s="234">
        <f>F120+G120</f>
        <v>0</v>
      </c>
      <c r="I120" s="25"/>
      <c r="J120" s="25"/>
      <c r="K120" s="234">
        <f>I120+J120</f>
        <v>0</v>
      </c>
      <c r="L120" s="25"/>
      <c r="M120" s="25"/>
      <c r="N120" s="234">
        <f>L120+M120</f>
        <v>0</v>
      </c>
      <c r="O120" s="238">
        <f t="shared" ref="O120:O125" si="40">+E120+H120+K120+N120</f>
        <v>0</v>
      </c>
    </row>
    <row r="121" spans="1:15" ht="20.100000000000001" customHeight="1">
      <c r="A121" s="240">
        <v>2</v>
      </c>
      <c r="B121" s="520" t="s">
        <v>1137</v>
      </c>
      <c r="C121" s="236"/>
      <c r="D121" s="236">
        <v>3</v>
      </c>
      <c r="E121" s="237">
        <f>C121+D121</f>
        <v>3</v>
      </c>
      <c r="F121" s="236"/>
      <c r="G121" s="236"/>
      <c r="H121" s="237">
        <f>F121+G121</f>
        <v>0</v>
      </c>
      <c r="I121" s="236"/>
      <c r="J121" s="236"/>
      <c r="K121" s="237">
        <f>I121+J121</f>
        <v>0</v>
      </c>
      <c r="L121" s="236"/>
      <c r="M121" s="236"/>
      <c r="N121" s="237">
        <f>L121+M121</f>
        <v>0</v>
      </c>
      <c r="O121" s="238">
        <f t="shared" si="40"/>
        <v>3</v>
      </c>
    </row>
    <row r="122" spans="1:15" ht="20.100000000000001" customHeight="1">
      <c r="A122" s="240">
        <v>3</v>
      </c>
      <c r="B122" s="520" t="s">
        <v>479</v>
      </c>
      <c r="C122" s="236">
        <v>18</v>
      </c>
      <c r="D122" s="236">
        <v>26</v>
      </c>
      <c r="E122" s="237">
        <f t="shared" ref="E122:E125" si="41">C122+D122</f>
        <v>44</v>
      </c>
      <c r="F122" s="236"/>
      <c r="G122" s="236"/>
      <c r="H122" s="237">
        <f t="shared" ref="H122:H125" si="42">F122+G122</f>
        <v>0</v>
      </c>
      <c r="I122" s="236"/>
      <c r="J122" s="236"/>
      <c r="K122" s="237">
        <f t="shared" ref="K122:K125" si="43">I122+J122</f>
        <v>0</v>
      </c>
      <c r="L122" s="236"/>
      <c r="M122" s="236"/>
      <c r="N122" s="237">
        <f t="shared" ref="N122:N125" si="44">L122+M122</f>
        <v>0</v>
      </c>
      <c r="O122" s="238">
        <f t="shared" si="40"/>
        <v>44</v>
      </c>
    </row>
    <row r="123" spans="1:15" ht="20.100000000000001" customHeight="1">
      <c r="A123" s="240">
        <v>4</v>
      </c>
      <c r="B123" s="520" t="s">
        <v>384</v>
      </c>
      <c r="C123" s="236"/>
      <c r="D123" s="236"/>
      <c r="E123" s="237">
        <f t="shared" si="41"/>
        <v>0</v>
      </c>
      <c r="F123" s="236"/>
      <c r="G123" s="236"/>
      <c r="H123" s="237">
        <f t="shared" si="42"/>
        <v>0</v>
      </c>
      <c r="I123" s="236"/>
      <c r="J123" s="236"/>
      <c r="K123" s="237">
        <f t="shared" si="43"/>
        <v>0</v>
      </c>
      <c r="L123" s="236"/>
      <c r="M123" s="236"/>
      <c r="N123" s="237">
        <f t="shared" si="44"/>
        <v>0</v>
      </c>
      <c r="O123" s="238">
        <f t="shared" si="40"/>
        <v>0</v>
      </c>
    </row>
    <row r="124" spans="1:15" ht="20.100000000000001" customHeight="1">
      <c r="A124" s="240">
        <v>5</v>
      </c>
      <c r="B124" s="520" t="s">
        <v>1138</v>
      </c>
      <c r="C124" s="236"/>
      <c r="D124" s="236"/>
      <c r="E124" s="237">
        <f t="shared" si="41"/>
        <v>0</v>
      </c>
      <c r="F124" s="236"/>
      <c r="G124" s="236"/>
      <c r="H124" s="237">
        <f t="shared" si="42"/>
        <v>0</v>
      </c>
      <c r="I124" s="236"/>
      <c r="J124" s="236"/>
      <c r="K124" s="237">
        <f t="shared" si="43"/>
        <v>0</v>
      </c>
      <c r="L124" s="236"/>
      <c r="M124" s="236"/>
      <c r="N124" s="237">
        <f t="shared" si="44"/>
        <v>0</v>
      </c>
      <c r="O124" s="238">
        <f t="shared" si="40"/>
        <v>0</v>
      </c>
    </row>
    <row r="125" spans="1:15" ht="20.100000000000001" customHeight="1">
      <c r="A125" s="269">
        <v>6</v>
      </c>
      <c r="B125" s="520" t="s">
        <v>411</v>
      </c>
      <c r="C125" s="235"/>
      <c r="D125" s="235"/>
      <c r="E125" s="196">
        <f t="shared" si="41"/>
        <v>0</v>
      </c>
      <c r="F125" s="235"/>
      <c r="G125" s="235"/>
      <c r="H125" s="196">
        <f t="shared" si="42"/>
        <v>0</v>
      </c>
      <c r="I125" s="235"/>
      <c r="J125" s="235"/>
      <c r="K125" s="196">
        <f t="shared" si="43"/>
        <v>0</v>
      </c>
      <c r="L125" s="235"/>
      <c r="M125" s="235"/>
      <c r="N125" s="196">
        <f t="shared" si="44"/>
        <v>0</v>
      </c>
      <c r="O125" s="238">
        <f t="shared" si="40"/>
        <v>0</v>
      </c>
    </row>
    <row r="126" spans="1:15" ht="20.100000000000001" customHeight="1">
      <c r="A126" s="1512" t="s">
        <v>893</v>
      </c>
      <c r="B126" s="1513"/>
      <c r="C126" s="231">
        <f>SUM(C120:C125)</f>
        <v>18</v>
      </c>
      <c r="D126" s="231">
        <f t="shared" ref="D126" si="45">SUM(D120:D125)</f>
        <v>29</v>
      </c>
      <c r="E126" s="233">
        <f>C126+D126</f>
        <v>47</v>
      </c>
      <c r="F126" s="231">
        <f t="shared" ref="F126:G126" si="46">SUM(F120:F125)</f>
        <v>0</v>
      </c>
      <c r="G126" s="231">
        <f t="shared" si="46"/>
        <v>0</v>
      </c>
      <c r="H126" s="233">
        <f>F126+G126</f>
        <v>0</v>
      </c>
      <c r="I126" s="231">
        <f t="shared" ref="I126:J126" si="47">SUM(I120:I125)</f>
        <v>0</v>
      </c>
      <c r="J126" s="231">
        <f t="shared" si="47"/>
        <v>0</v>
      </c>
      <c r="K126" s="233">
        <f>I126+J126</f>
        <v>0</v>
      </c>
      <c r="L126" s="231">
        <f t="shared" ref="L126:M126" si="48">SUM(L120:L125)</f>
        <v>0</v>
      </c>
      <c r="M126" s="231">
        <f t="shared" si="48"/>
        <v>0</v>
      </c>
      <c r="N126" s="233">
        <f>L126+M126</f>
        <v>0</v>
      </c>
      <c r="O126" s="249">
        <f>E126+H126+K126+N126</f>
        <v>47</v>
      </c>
    </row>
    <row r="127" spans="1:15" ht="15" customHeight="1">
      <c r="A127" s="1476" t="s">
        <v>147</v>
      </c>
      <c r="B127" s="1478"/>
      <c r="C127" s="27"/>
      <c r="D127" s="27"/>
      <c r="E127" s="28"/>
      <c r="F127" s="27"/>
      <c r="G127" s="27"/>
      <c r="H127" s="28"/>
      <c r="I127" s="27"/>
      <c r="J127" s="27"/>
      <c r="K127" s="28"/>
      <c r="L127" s="27"/>
      <c r="M127" s="27"/>
      <c r="N127" s="28"/>
      <c r="O127" s="27"/>
    </row>
    <row r="128" spans="1:15" ht="20.100000000000001" customHeight="1">
      <c r="A128" s="239">
        <v>1</v>
      </c>
      <c r="B128" s="520" t="s">
        <v>364</v>
      </c>
      <c r="C128" s="25">
        <v>77</v>
      </c>
      <c r="D128" s="25">
        <v>16</v>
      </c>
      <c r="E128" s="234">
        <f>C128+D128</f>
        <v>93</v>
      </c>
      <c r="F128" s="25"/>
      <c r="G128" s="25"/>
      <c r="H128" s="234">
        <f>F128+G128</f>
        <v>0</v>
      </c>
      <c r="I128" s="25">
        <v>10</v>
      </c>
      <c r="J128" s="25">
        <v>10</v>
      </c>
      <c r="K128" s="234">
        <f>I128+J128</f>
        <v>20</v>
      </c>
      <c r="L128" s="25"/>
      <c r="M128" s="25"/>
      <c r="N128" s="234">
        <f>L128+M128</f>
        <v>0</v>
      </c>
      <c r="O128" s="238">
        <f t="shared" ref="O128:O140" si="49">+E128+H128+K128+N128</f>
        <v>113</v>
      </c>
    </row>
    <row r="129" spans="1:15" ht="20.100000000000001" customHeight="1">
      <c r="A129" s="240">
        <v>2</v>
      </c>
      <c r="B129" s="520" t="s">
        <v>1139</v>
      </c>
      <c r="C129" s="236"/>
      <c r="D129" s="236"/>
      <c r="E129" s="237">
        <f>C129+D129</f>
        <v>0</v>
      </c>
      <c r="F129" s="236"/>
      <c r="G129" s="236"/>
      <c r="H129" s="237">
        <f>F129+G129</f>
        <v>0</v>
      </c>
      <c r="I129" s="236"/>
      <c r="J129" s="236"/>
      <c r="K129" s="237">
        <f>I129+J129</f>
        <v>0</v>
      </c>
      <c r="L129" s="236"/>
      <c r="M129" s="236"/>
      <c r="N129" s="237">
        <f>L129+M129</f>
        <v>0</v>
      </c>
      <c r="O129" s="238">
        <f t="shared" si="49"/>
        <v>0</v>
      </c>
    </row>
    <row r="130" spans="1:15" ht="20.100000000000001" customHeight="1">
      <c r="A130" s="240">
        <v>3</v>
      </c>
      <c r="B130" s="520" t="s">
        <v>1140</v>
      </c>
      <c r="C130" s="236"/>
      <c r="D130" s="236"/>
      <c r="E130" s="237">
        <f t="shared" ref="E130:E139" si="50">C130+D130</f>
        <v>0</v>
      </c>
      <c r="F130" s="236"/>
      <c r="G130" s="236"/>
      <c r="H130" s="237">
        <f t="shared" ref="H130:H139" si="51">F130+G130</f>
        <v>0</v>
      </c>
      <c r="I130" s="236"/>
      <c r="J130" s="236"/>
      <c r="K130" s="237">
        <f t="shared" ref="K130:K139" si="52">I130+J130</f>
        <v>0</v>
      </c>
      <c r="L130" s="236"/>
      <c r="M130" s="236"/>
      <c r="N130" s="237">
        <f t="shared" ref="N130:N140" si="53">L130+M130</f>
        <v>0</v>
      </c>
      <c r="O130" s="238">
        <f t="shared" si="49"/>
        <v>0</v>
      </c>
    </row>
    <row r="131" spans="1:15" ht="20.100000000000001" customHeight="1">
      <c r="A131" s="240">
        <v>4</v>
      </c>
      <c r="B131" s="520" t="s">
        <v>388</v>
      </c>
      <c r="C131" s="236"/>
      <c r="D131" s="236"/>
      <c r="E131" s="237">
        <f t="shared" si="50"/>
        <v>0</v>
      </c>
      <c r="F131" s="236"/>
      <c r="G131" s="236"/>
      <c r="H131" s="237">
        <f t="shared" si="51"/>
        <v>0</v>
      </c>
      <c r="I131" s="236"/>
      <c r="J131" s="236"/>
      <c r="K131" s="237">
        <f t="shared" si="52"/>
        <v>0</v>
      </c>
      <c r="L131" s="236"/>
      <c r="M131" s="236"/>
      <c r="N131" s="237">
        <f t="shared" si="53"/>
        <v>0</v>
      </c>
      <c r="O131" s="238">
        <f t="shared" si="49"/>
        <v>0</v>
      </c>
    </row>
    <row r="132" spans="1:15" ht="20.100000000000001" customHeight="1">
      <c r="A132" s="240">
        <v>5</v>
      </c>
      <c r="B132" s="520" t="s">
        <v>378</v>
      </c>
      <c r="C132" s="236">
        <v>3</v>
      </c>
      <c r="D132" s="236">
        <v>1</v>
      </c>
      <c r="E132" s="237">
        <f t="shared" si="50"/>
        <v>4</v>
      </c>
      <c r="F132" s="236"/>
      <c r="G132" s="236"/>
      <c r="H132" s="237">
        <f t="shared" si="51"/>
        <v>0</v>
      </c>
      <c r="I132" s="236"/>
      <c r="J132" s="236"/>
      <c r="K132" s="237">
        <f t="shared" si="52"/>
        <v>0</v>
      </c>
      <c r="L132" s="236"/>
      <c r="M132" s="236"/>
      <c r="N132" s="237">
        <f t="shared" si="53"/>
        <v>0</v>
      </c>
      <c r="O132" s="238">
        <f t="shared" si="49"/>
        <v>4</v>
      </c>
    </row>
    <row r="133" spans="1:15" ht="20.100000000000001" customHeight="1">
      <c r="A133" s="240">
        <v>6</v>
      </c>
      <c r="B133" s="520" t="s">
        <v>1141</v>
      </c>
      <c r="C133" s="236"/>
      <c r="D133" s="236"/>
      <c r="E133" s="237">
        <f t="shared" si="50"/>
        <v>0</v>
      </c>
      <c r="F133" s="236"/>
      <c r="G133" s="236"/>
      <c r="H133" s="237">
        <f t="shared" si="51"/>
        <v>0</v>
      </c>
      <c r="I133" s="236"/>
      <c r="J133" s="236"/>
      <c r="K133" s="237">
        <f t="shared" si="52"/>
        <v>0</v>
      </c>
      <c r="L133" s="236"/>
      <c r="M133" s="236"/>
      <c r="N133" s="237">
        <f t="shared" si="53"/>
        <v>0</v>
      </c>
      <c r="O133" s="238">
        <f t="shared" si="49"/>
        <v>0</v>
      </c>
    </row>
    <row r="134" spans="1:15" ht="20.100000000000001" customHeight="1">
      <c r="A134" s="240">
        <v>7</v>
      </c>
      <c r="B134" s="520" t="s">
        <v>417</v>
      </c>
      <c r="C134" s="236">
        <v>33</v>
      </c>
      <c r="D134" s="236">
        <v>7</v>
      </c>
      <c r="E134" s="237">
        <f t="shared" si="50"/>
        <v>40</v>
      </c>
      <c r="F134" s="236">
        <v>34</v>
      </c>
      <c r="G134" s="236">
        <v>12</v>
      </c>
      <c r="H134" s="237">
        <f t="shared" si="51"/>
        <v>46</v>
      </c>
      <c r="I134" s="236"/>
      <c r="J134" s="236"/>
      <c r="K134" s="237">
        <f t="shared" si="52"/>
        <v>0</v>
      </c>
      <c r="L134" s="236"/>
      <c r="M134" s="236"/>
      <c r="N134" s="237">
        <f t="shared" si="53"/>
        <v>0</v>
      </c>
      <c r="O134" s="238">
        <f t="shared" si="49"/>
        <v>86</v>
      </c>
    </row>
    <row r="135" spans="1:15" ht="20.100000000000001" customHeight="1">
      <c r="A135" s="240">
        <v>8</v>
      </c>
      <c r="B135" s="520" t="s">
        <v>421</v>
      </c>
      <c r="C135" s="236">
        <v>15</v>
      </c>
      <c r="D135" s="236">
        <v>47</v>
      </c>
      <c r="E135" s="237">
        <f t="shared" si="50"/>
        <v>62</v>
      </c>
      <c r="F135" s="236"/>
      <c r="G135" s="236"/>
      <c r="H135" s="237">
        <f t="shared" si="51"/>
        <v>0</v>
      </c>
      <c r="I135" s="236"/>
      <c r="J135" s="236"/>
      <c r="K135" s="237">
        <f t="shared" si="52"/>
        <v>0</v>
      </c>
      <c r="L135" s="236"/>
      <c r="M135" s="236"/>
      <c r="N135" s="237">
        <f t="shared" si="53"/>
        <v>0</v>
      </c>
      <c r="O135" s="238">
        <f t="shared" si="49"/>
        <v>62</v>
      </c>
    </row>
    <row r="136" spans="1:15" ht="20.100000000000001" customHeight="1">
      <c r="A136" s="240">
        <v>9</v>
      </c>
      <c r="B136" s="520" t="s">
        <v>1142</v>
      </c>
      <c r="C136" s="236"/>
      <c r="D136" s="236"/>
      <c r="E136" s="237">
        <f t="shared" si="50"/>
        <v>0</v>
      </c>
      <c r="F136" s="236"/>
      <c r="G136" s="236"/>
      <c r="H136" s="237">
        <f t="shared" si="51"/>
        <v>0</v>
      </c>
      <c r="I136" s="236"/>
      <c r="J136" s="236"/>
      <c r="K136" s="237">
        <f t="shared" si="52"/>
        <v>0</v>
      </c>
      <c r="L136" s="236"/>
      <c r="M136" s="236"/>
      <c r="N136" s="237">
        <f t="shared" si="53"/>
        <v>0</v>
      </c>
      <c r="O136" s="238">
        <f t="shared" si="49"/>
        <v>0</v>
      </c>
    </row>
    <row r="137" spans="1:15" ht="20.100000000000001" customHeight="1">
      <c r="A137" s="240">
        <v>10</v>
      </c>
      <c r="B137" s="520" t="s">
        <v>1143</v>
      </c>
      <c r="C137" s="236"/>
      <c r="D137" s="236"/>
      <c r="E137" s="237">
        <f t="shared" si="50"/>
        <v>0</v>
      </c>
      <c r="F137" s="236"/>
      <c r="G137" s="236"/>
      <c r="H137" s="237">
        <f t="shared" si="51"/>
        <v>0</v>
      </c>
      <c r="I137" s="236"/>
      <c r="J137" s="236"/>
      <c r="K137" s="237">
        <f t="shared" si="52"/>
        <v>0</v>
      </c>
      <c r="L137" s="236"/>
      <c r="M137" s="236"/>
      <c r="N137" s="237">
        <f t="shared" si="53"/>
        <v>0</v>
      </c>
      <c r="O137" s="238">
        <f t="shared" si="49"/>
        <v>0</v>
      </c>
    </row>
    <row r="138" spans="1:15" ht="20.100000000000001" customHeight="1">
      <c r="A138" s="240">
        <v>11</v>
      </c>
      <c r="B138" s="520" t="s">
        <v>1144</v>
      </c>
      <c r="C138" s="236"/>
      <c r="D138" s="236"/>
      <c r="E138" s="237">
        <f t="shared" si="50"/>
        <v>0</v>
      </c>
      <c r="F138" s="236"/>
      <c r="G138" s="236"/>
      <c r="H138" s="237">
        <f t="shared" si="51"/>
        <v>0</v>
      </c>
      <c r="I138" s="236"/>
      <c r="J138" s="236"/>
      <c r="K138" s="237">
        <f t="shared" si="52"/>
        <v>0</v>
      </c>
      <c r="L138" s="236"/>
      <c r="M138" s="236"/>
      <c r="N138" s="237">
        <f t="shared" si="53"/>
        <v>0</v>
      </c>
      <c r="O138" s="238">
        <f t="shared" si="49"/>
        <v>0</v>
      </c>
    </row>
    <row r="139" spans="1:15" ht="20.100000000000001" customHeight="1">
      <c r="A139" s="240">
        <v>12</v>
      </c>
      <c r="B139" s="520" t="s">
        <v>356</v>
      </c>
      <c r="C139" s="236"/>
      <c r="D139" s="236"/>
      <c r="E139" s="237">
        <f t="shared" si="50"/>
        <v>0</v>
      </c>
      <c r="F139" s="236"/>
      <c r="G139" s="236"/>
      <c r="H139" s="237">
        <f t="shared" si="51"/>
        <v>0</v>
      </c>
      <c r="I139" s="236"/>
      <c r="J139" s="236"/>
      <c r="K139" s="237">
        <f t="shared" si="52"/>
        <v>0</v>
      </c>
      <c r="L139" s="236"/>
      <c r="M139" s="236"/>
      <c r="N139" s="237">
        <f t="shared" si="53"/>
        <v>0</v>
      </c>
      <c r="O139" s="238">
        <f t="shared" si="49"/>
        <v>0</v>
      </c>
    </row>
    <row r="140" spans="1:15" ht="20.100000000000001" customHeight="1">
      <c r="A140" s="240">
        <v>13</v>
      </c>
      <c r="B140" s="520" t="s">
        <v>432</v>
      </c>
      <c r="C140" s="231">
        <f>SUM(C127:C138)</f>
        <v>128</v>
      </c>
      <c r="D140" s="232">
        <f>SUM(D127:D138)</f>
        <v>71</v>
      </c>
      <c r="E140" s="233">
        <f>C140+D140</f>
        <v>199</v>
      </c>
      <c r="F140" s="231">
        <f>SUM(F127:F138)</f>
        <v>34</v>
      </c>
      <c r="G140" s="232">
        <f>SUM(G127:G138)</f>
        <v>12</v>
      </c>
      <c r="H140" s="233">
        <f>F140+G140</f>
        <v>46</v>
      </c>
      <c r="I140" s="231">
        <f>SUM(I127:I138)</f>
        <v>10</v>
      </c>
      <c r="J140" s="232">
        <f>SUM(J127:J138)</f>
        <v>10</v>
      </c>
      <c r="K140" s="233">
        <f>I140+J140</f>
        <v>20</v>
      </c>
      <c r="L140" s="236"/>
      <c r="M140" s="236"/>
      <c r="N140" s="237">
        <f t="shared" si="53"/>
        <v>0</v>
      </c>
      <c r="O140" s="238">
        <f t="shared" si="49"/>
        <v>265</v>
      </c>
    </row>
    <row r="141" spans="1:15" ht="20.100000000000001" customHeight="1">
      <c r="A141" s="240">
        <v>14</v>
      </c>
      <c r="B141" s="544" t="s">
        <v>434</v>
      </c>
      <c r="C141" s="546">
        <v>5</v>
      </c>
      <c r="D141" s="546">
        <v>2</v>
      </c>
      <c r="E141" s="250">
        <f>C141+D141</f>
        <v>7</v>
      </c>
      <c r="F141" s="546">
        <f>SUM(F128:F139)</f>
        <v>34</v>
      </c>
      <c r="G141" s="546">
        <f>SUM(G128:G139)</f>
        <v>12</v>
      </c>
      <c r="H141" s="250">
        <f>F141+G141</f>
        <v>46</v>
      </c>
      <c r="I141" s="546"/>
      <c r="J141" s="546"/>
      <c r="K141" s="250">
        <f>I141+J141</f>
        <v>0</v>
      </c>
      <c r="L141" s="545">
        <f>SUM(L128:L139)</f>
        <v>0</v>
      </c>
      <c r="M141" s="232">
        <f>SUM(M128:M139)</f>
        <v>0</v>
      </c>
      <c r="N141" s="233">
        <f>L141+M141</f>
        <v>0</v>
      </c>
      <c r="O141" s="249">
        <f>E141+H141+K141+N141</f>
        <v>53</v>
      </c>
    </row>
    <row r="142" spans="1:15" ht="20.100000000000001" customHeight="1">
      <c r="A142" s="1512" t="s">
        <v>893</v>
      </c>
      <c r="B142" s="1513"/>
      <c r="C142" s="231">
        <f>SUM(C128:C141)</f>
        <v>261</v>
      </c>
      <c r="D142" s="231">
        <f t="shared" ref="D142" si="54">SUM(D128:D141)</f>
        <v>144</v>
      </c>
      <c r="E142" s="233">
        <f>C142+D142</f>
        <v>405</v>
      </c>
      <c r="F142" s="231">
        <f t="shared" ref="F142:G142" si="55">SUM(F128:F141)</f>
        <v>102</v>
      </c>
      <c r="G142" s="231">
        <f t="shared" si="55"/>
        <v>36</v>
      </c>
      <c r="H142" s="233">
        <f>F142+G142</f>
        <v>138</v>
      </c>
      <c r="I142" s="231">
        <f t="shared" ref="I142:J142" si="56">SUM(I128:I141)</f>
        <v>20</v>
      </c>
      <c r="J142" s="231">
        <f t="shared" si="56"/>
        <v>20</v>
      </c>
      <c r="K142" s="233">
        <f>I142+J142</f>
        <v>40</v>
      </c>
      <c r="L142" s="231">
        <f t="shared" ref="L142:M142" si="57">SUM(L128:L141)</f>
        <v>0</v>
      </c>
      <c r="M142" s="231">
        <f t="shared" si="57"/>
        <v>0</v>
      </c>
      <c r="N142" s="233">
        <f>L142+M142</f>
        <v>0</v>
      </c>
      <c r="O142" s="249">
        <f>E142+H142+K142+N142</f>
        <v>583</v>
      </c>
    </row>
    <row r="143" spans="1:15" ht="15" customHeight="1">
      <c r="A143" s="1518" t="s">
        <v>1145</v>
      </c>
      <c r="B143" s="1518"/>
      <c r="C143" s="1527"/>
      <c r="D143" s="1527"/>
      <c r="E143" s="1527"/>
      <c r="F143" s="1527"/>
      <c r="G143" s="1527"/>
      <c r="H143" s="1527"/>
      <c r="I143" s="1527"/>
      <c r="J143" s="1527"/>
      <c r="K143" s="1527"/>
      <c r="L143" s="1518"/>
      <c r="M143" s="1518"/>
      <c r="N143" s="1518"/>
      <c r="O143" s="1518"/>
    </row>
    <row r="144" spans="1:15" ht="20.100000000000001" customHeight="1">
      <c r="A144" s="239">
        <v>1</v>
      </c>
      <c r="B144" s="520" t="s">
        <v>457</v>
      </c>
      <c r="C144" s="25"/>
      <c r="D144" s="25"/>
      <c r="E144" s="234">
        <f>C144+D144</f>
        <v>0</v>
      </c>
      <c r="F144" s="25"/>
      <c r="G144" s="25"/>
      <c r="H144" s="234">
        <f>F144+G144</f>
        <v>0</v>
      </c>
      <c r="I144" s="25"/>
      <c r="J144" s="25"/>
      <c r="K144" s="234">
        <f>I144+J144</f>
        <v>0</v>
      </c>
      <c r="L144" s="25"/>
      <c r="M144" s="25"/>
      <c r="N144" s="234">
        <f>L144+M144</f>
        <v>0</v>
      </c>
      <c r="O144" s="238">
        <f t="shared" ref="O144:O150" si="58">+E144+H144+K144+N144</f>
        <v>0</v>
      </c>
    </row>
    <row r="145" spans="1:15" ht="20.100000000000001" customHeight="1">
      <c r="A145" s="240">
        <v>2</v>
      </c>
      <c r="B145" s="520" t="s">
        <v>1146</v>
      </c>
      <c r="C145" s="236">
        <v>15</v>
      </c>
      <c r="D145" s="236">
        <v>20</v>
      </c>
      <c r="E145" s="237">
        <f>C145+D145</f>
        <v>35</v>
      </c>
      <c r="F145" s="236">
        <v>18</v>
      </c>
      <c r="G145" s="236">
        <v>40</v>
      </c>
      <c r="H145" s="237">
        <f>F145+G145</f>
        <v>58</v>
      </c>
      <c r="I145" s="236"/>
      <c r="J145" s="236"/>
      <c r="K145" s="237">
        <f>I145+J145</f>
        <v>0</v>
      </c>
      <c r="L145" s="236"/>
      <c r="M145" s="236"/>
      <c r="N145" s="237">
        <f>L145+M145</f>
        <v>0</v>
      </c>
      <c r="O145" s="238">
        <f t="shared" si="58"/>
        <v>93</v>
      </c>
    </row>
    <row r="146" spans="1:15" ht="20.100000000000001" customHeight="1">
      <c r="A146" s="240">
        <v>3</v>
      </c>
      <c r="B146" s="520" t="s">
        <v>1147</v>
      </c>
      <c r="C146" s="236"/>
      <c r="D146" s="236"/>
      <c r="E146" s="237">
        <f t="shared" ref="E146:E150" si="59">C146+D146</f>
        <v>0</v>
      </c>
      <c r="F146" s="236"/>
      <c r="G146" s="236"/>
      <c r="H146" s="237">
        <f t="shared" ref="H146:H150" si="60">F146+G146</f>
        <v>0</v>
      </c>
      <c r="I146" s="236"/>
      <c r="J146" s="236"/>
      <c r="K146" s="237">
        <f t="shared" ref="K146:K150" si="61">I146+J146</f>
        <v>0</v>
      </c>
      <c r="L146" s="236"/>
      <c r="M146" s="236"/>
      <c r="N146" s="237">
        <f t="shared" ref="N146:N150" si="62">L146+M146</f>
        <v>0</v>
      </c>
      <c r="O146" s="238">
        <f t="shared" si="58"/>
        <v>0</v>
      </c>
    </row>
    <row r="147" spans="1:15" ht="20.100000000000001" customHeight="1">
      <c r="A147" s="240">
        <v>4</v>
      </c>
      <c r="B147" s="520" t="s">
        <v>1148</v>
      </c>
      <c r="C147" s="236"/>
      <c r="D147" s="236"/>
      <c r="E147" s="237">
        <f t="shared" si="59"/>
        <v>0</v>
      </c>
      <c r="F147" s="236"/>
      <c r="G147" s="236"/>
      <c r="H147" s="237">
        <f t="shared" si="60"/>
        <v>0</v>
      </c>
      <c r="I147" s="236"/>
      <c r="J147" s="236"/>
      <c r="K147" s="237">
        <f t="shared" si="61"/>
        <v>0</v>
      </c>
      <c r="L147" s="236"/>
      <c r="M147" s="236"/>
      <c r="N147" s="237">
        <f t="shared" si="62"/>
        <v>0</v>
      </c>
      <c r="O147" s="238">
        <f t="shared" si="58"/>
        <v>0</v>
      </c>
    </row>
    <row r="148" spans="1:15" ht="20.100000000000001" customHeight="1">
      <c r="A148" s="240">
        <v>5</v>
      </c>
      <c r="B148" s="520" t="s">
        <v>513</v>
      </c>
      <c r="C148" s="236"/>
      <c r="D148" s="236"/>
      <c r="E148" s="237">
        <f t="shared" si="59"/>
        <v>0</v>
      </c>
      <c r="F148" s="236"/>
      <c r="G148" s="236"/>
      <c r="H148" s="237">
        <f t="shared" si="60"/>
        <v>0</v>
      </c>
      <c r="I148" s="236"/>
      <c r="J148" s="236"/>
      <c r="K148" s="237">
        <f t="shared" si="61"/>
        <v>0</v>
      </c>
      <c r="L148" s="236"/>
      <c r="M148" s="236"/>
      <c r="N148" s="237">
        <f t="shared" si="62"/>
        <v>0</v>
      </c>
      <c r="O148" s="238">
        <f t="shared" si="58"/>
        <v>0</v>
      </c>
    </row>
    <row r="149" spans="1:15" ht="20.100000000000001" customHeight="1">
      <c r="A149" s="240">
        <v>6</v>
      </c>
      <c r="B149" s="520" t="s">
        <v>427</v>
      </c>
      <c r="C149" s="236"/>
      <c r="D149" s="236"/>
      <c r="E149" s="237">
        <f t="shared" si="59"/>
        <v>0</v>
      </c>
      <c r="F149" s="236"/>
      <c r="G149" s="236"/>
      <c r="H149" s="237">
        <f t="shared" si="60"/>
        <v>0</v>
      </c>
      <c r="I149" s="236"/>
      <c r="J149" s="236"/>
      <c r="K149" s="237">
        <f t="shared" si="61"/>
        <v>0</v>
      </c>
      <c r="L149" s="236"/>
      <c r="M149" s="236"/>
      <c r="N149" s="237">
        <f t="shared" si="62"/>
        <v>0</v>
      </c>
      <c r="O149" s="238">
        <f t="shared" si="58"/>
        <v>0</v>
      </c>
    </row>
    <row r="150" spans="1:15" ht="20.100000000000001" customHeight="1">
      <c r="A150" s="240">
        <v>7</v>
      </c>
      <c r="B150" s="520" t="s">
        <v>1149</v>
      </c>
      <c r="C150" s="236"/>
      <c r="D150" s="236"/>
      <c r="E150" s="237">
        <f t="shared" si="59"/>
        <v>0</v>
      </c>
      <c r="F150" s="236"/>
      <c r="G150" s="236"/>
      <c r="H150" s="237">
        <f t="shared" si="60"/>
        <v>0</v>
      </c>
      <c r="I150" s="236"/>
      <c r="J150" s="236"/>
      <c r="K150" s="237">
        <f t="shared" si="61"/>
        <v>0</v>
      </c>
      <c r="L150" s="236"/>
      <c r="M150" s="236"/>
      <c r="N150" s="237">
        <f t="shared" si="62"/>
        <v>0</v>
      </c>
      <c r="O150" s="238">
        <f t="shared" si="58"/>
        <v>0</v>
      </c>
    </row>
    <row r="151" spans="1:15" ht="20.100000000000001" customHeight="1">
      <c r="A151" s="1512" t="s">
        <v>893</v>
      </c>
      <c r="B151" s="1513"/>
      <c r="C151" s="231">
        <f>SUM(C144:C150)</f>
        <v>15</v>
      </c>
      <c r="D151" s="231">
        <f t="shared" ref="D151" si="63">SUM(D144:D150)</f>
        <v>20</v>
      </c>
      <c r="E151" s="233">
        <f>C151+D151</f>
        <v>35</v>
      </c>
      <c r="F151" s="231">
        <f t="shared" ref="F151:G151" si="64">SUM(F144:F150)</f>
        <v>18</v>
      </c>
      <c r="G151" s="231">
        <f t="shared" si="64"/>
        <v>40</v>
      </c>
      <c r="H151" s="233">
        <f>F151+G151</f>
        <v>58</v>
      </c>
      <c r="I151" s="231">
        <f t="shared" ref="I151:J151" si="65">SUM(I144:I150)</f>
        <v>0</v>
      </c>
      <c r="J151" s="231">
        <f t="shared" si="65"/>
        <v>0</v>
      </c>
      <c r="K151" s="233">
        <f>I151+J151</f>
        <v>0</v>
      </c>
      <c r="L151" s="231">
        <f t="shared" ref="L151:M151" si="66">SUM(L144:L150)</f>
        <v>0</v>
      </c>
      <c r="M151" s="231">
        <f t="shared" si="66"/>
        <v>0</v>
      </c>
      <c r="N151" s="233">
        <f>L151+M151</f>
        <v>0</v>
      </c>
      <c r="O151" s="249">
        <f>E151+H151+K151+N151</f>
        <v>93</v>
      </c>
    </row>
    <row r="152" spans="1:15" ht="15" customHeight="1">
      <c r="A152" s="1518" t="s">
        <v>1150</v>
      </c>
      <c r="B152" s="1518"/>
      <c r="C152" s="1518"/>
      <c r="D152" s="1518"/>
      <c r="E152" s="1518"/>
      <c r="F152" s="1518"/>
      <c r="G152" s="1518"/>
      <c r="H152" s="1518"/>
      <c r="I152" s="1518"/>
      <c r="J152" s="1518"/>
      <c r="K152" s="1518"/>
      <c r="L152" s="1518"/>
      <c r="M152" s="1518"/>
      <c r="N152" s="1518"/>
      <c r="O152" s="1518"/>
    </row>
    <row r="153" spans="1:15" ht="20.100000000000001" customHeight="1">
      <c r="A153" s="239">
        <v>1</v>
      </c>
      <c r="B153" s="520" t="s">
        <v>537</v>
      </c>
      <c r="C153" s="25">
        <v>82</v>
      </c>
      <c r="D153" s="25">
        <v>9</v>
      </c>
      <c r="E153" s="234">
        <f>C153+D153</f>
        <v>91</v>
      </c>
      <c r="F153" s="25">
        <v>37</v>
      </c>
      <c r="G153" s="25">
        <v>12</v>
      </c>
      <c r="H153" s="234">
        <f>F153+G153</f>
        <v>49</v>
      </c>
      <c r="I153" s="25"/>
      <c r="J153" s="25"/>
      <c r="K153" s="234">
        <f>I153+J153</f>
        <v>0</v>
      </c>
      <c r="L153" s="25"/>
      <c r="M153" s="25"/>
      <c r="N153" s="234">
        <f>L153+M153</f>
        <v>0</v>
      </c>
      <c r="O153" s="238">
        <f t="shared" ref="O153:O158" si="67">+E153+H153+K153+N153</f>
        <v>140</v>
      </c>
    </row>
    <row r="154" spans="1:15" ht="20.100000000000001" customHeight="1">
      <c r="A154" s="240">
        <v>2</v>
      </c>
      <c r="B154" s="520" t="s">
        <v>1151</v>
      </c>
      <c r="C154" s="236">
        <v>25</v>
      </c>
      <c r="D154" s="236">
        <v>7</v>
      </c>
      <c r="E154" s="237">
        <f>C154+D154</f>
        <v>32</v>
      </c>
      <c r="F154" s="236">
        <v>65</v>
      </c>
      <c r="G154" s="236">
        <v>81</v>
      </c>
      <c r="H154" s="237">
        <f>F154+G154</f>
        <v>146</v>
      </c>
      <c r="I154" s="236"/>
      <c r="J154" s="236"/>
      <c r="K154" s="237">
        <f>I154+J154</f>
        <v>0</v>
      </c>
      <c r="L154" s="236"/>
      <c r="M154" s="236"/>
      <c r="N154" s="237">
        <f>L154+M154</f>
        <v>0</v>
      </c>
      <c r="O154" s="238">
        <f t="shared" si="67"/>
        <v>178</v>
      </c>
    </row>
    <row r="155" spans="1:15" ht="20.100000000000001" customHeight="1">
      <c r="A155" s="240">
        <v>3</v>
      </c>
      <c r="B155" s="520" t="s">
        <v>504</v>
      </c>
      <c r="C155" s="236">
        <v>45</v>
      </c>
      <c r="D155" s="236">
        <v>5</v>
      </c>
      <c r="E155" s="237">
        <f t="shared" ref="E155:E158" si="68">C155+D155</f>
        <v>50</v>
      </c>
      <c r="F155" s="236"/>
      <c r="G155" s="236"/>
      <c r="H155" s="237">
        <f t="shared" ref="H155:H158" si="69">F155+G155</f>
        <v>0</v>
      </c>
      <c r="I155" s="236"/>
      <c r="J155" s="236"/>
      <c r="K155" s="237">
        <f t="shared" ref="K155:K158" si="70">I155+J155</f>
        <v>0</v>
      </c>
      <c r="L155" s="236"/>
      <c r="M155" s="236"/>
      <c r="N155" s="237">
        <f t="shared" ref="N155:N158" si="71">L155+M155</f>
        <v>0</v>
      </c>
      <c r="O155" s="238">
        <f t="shared" si="67"/>
        <v>50</v>
      </c>
    </row>
    <row r="156" spans="1:15" ht="20.100000000000001" customHeight="1">
      <c r="A156" s="240">
        <v>4</v>
      </c>
      <c r="B156" s="520" t="s">
        <v>516</v>
      </c>
      <c r="C156" s="236"/>
      <c r="D156" s="236"/>
      <c r="E156" s="237">
        <f t="shared" si="68"/>
        <v>0</v>
      </c>
      <c r="F156" s="236"/>
      <c r="G156" s="236"/>
      <c r="H156" s="237">
        <f t="shared" si="69"/>
        <v>0</v>
      </c>
      <c r="I156" s="236"/>
      <c r="J156" s="236"/>
      <c r="K156" s="237">
        <f t="shared" si="70"/>
        <v>0</v>
      </c>
      <c r="L156" s="236"/>
      <c r="M156" s="236"/>
      <c r="N156" s="237">
        <f t="shared" si="71"/>
        <v>0</v>
      </c>
      <c r="O156" s="238">
        <f t="shared" si="67"/>
        <v>0</v>
      </c>
    </row>
    <row r="157" spans="1:15" ht="20.100000000000001" customHeight="1">
      <c r="A157" s="240">
        <v>5</v>
      </c>
      <c r="B157" s="520" t="s">
        <v>470</v>
      </c>
      <c r="C157" s="236"/>
      <c r="D157" s="236"/>
      <c r="E157" s="237">
        <f t="shared" si="68"/>
        <v>0</v>
      </c>
      <c r="F157" s="236"/>
      <c r="G157" s="236"/>
      <c r="H157" s="237">
        <f t="shared" si="69"/>
        <v>0</v>
      </c>
      <c r="I157" s="236"/>
      <c r="J157" s="236"/>
      <c r="K157" s="237">
        <f t="shared" si="70"/>
        <v>0</v>
      </c>
      <c r="L157" s="236"/>
      <c r="M157" s="236"/>
      <c r="N157" s="237">
        <f t="shared" si="71"/>
        <v>0</v>
      </c>
      <c r="O157" s="238">
        <f t="shared" si="67"/>
        <v>0</v>
      </c>
    </row>
    <row r="158" spans="1:15" ht="20.100000000000001" customHeight="1">
      <c r="A158" s="269">
        <v>6</v>
      </c>
      <c r="B158" s="243"/>
      <c r="C158" s="235"/>
      <c r="D158" s="235"/>
      <c r="E158" s="196">
        <f t="shared" si="68"/>
        <v>0</v>
      </c>
      <c r="F158" s="235"/>
      <c r="G158" s="235"/>
      <c r="H158" s="196">
        <f t="shared" si="69"/>
        <v>0</v>
      </c>
      <c r="I158" s="235"/>
      <c r="J158" s="235"/>
      <c r="K158" s="196">
        <f t="shared" si="70"/>
        <v>0</v>
      </c>
      <c r="L158" s="235"/>
      <c r="M158" s="235"/>
      <c r="N158" s="196">
        <f t="shared" si="71"/>
        <v>0</v>
      </c>
      <c r="O158" s="238">
        <f t="shared" si="67"/>
        <v>0</v>
      </c>
    </row>
    <row r="159" spans="1:15" ht="20.100000000000001" customHeight="1">
      <c r="A159" s="1512" t="s">
        <v>893</v>
      </c>
      <c r="B159" s="1513"/>
      <c r="C159" s="244">
        <f>SUM(C153:C157)</f>
        <v>152</v>
      </c>
      <c r="D159" s="245">
        <f>SUM(D153:D157)</f>
        <v>21</v>
      </c>
      <c r="E159" s="30">
        <f>C159+D159</f>
        <v>173</v>
      </c>
      <c r="F159" s="244">
        <f>SUM(F153:F157)</f>
        <v>102</v>
      </c>
      <c r="G159" s="245">
        <f>SUM(G153:G157)</f>
        <v>93</v>
      </c>
      <c r="H159" s="30">
        <f>F159+G159</f>
        <v>195</v>
      </c>
      <c r="I159" s="244">
        <f>SUM(I153:I157)</f>
        <v>0</v>
      </c>
      <c r="J159" s="245">
        <f>SUM(J153:J157)</f>
        <v>0</v>
      </c>
      <c r="K159" s="30">
        <f>I159+J159</f>
        <v>0</v>
      </c>
      <c r="L159" s="244">
        <f>SUM(L153:L157)</f>
        <v>0</v>
      </c>
      <c r="M159" s="245">
        <f>SUM(M153:M157)</f>
        <v>0</v>
      </c>
      <c r="N159" s="30">
        <f>L159+M159</f>
        <v>0</v>
      </c>
      <c r="O159" s="250">
        <f>E159+H159+K159+N159</f>
        <v>368</v>
      </c>
    </row>
    <row r="160" spans="1:15" ht="15" customHeight="1">
      <c r="A160" s="1476" t="s">
        <v>1010</v>
      </c>
      <c r="B160" s="1478"/>
      <c r="C160" s="27"/>
      <c r="D160" s="27"/>
      <c r="E160" s="28"/>
      <c r="F160" s="27"/>
      <c r="G160" s="27"/>
      <c r="H160" s="28"/>
      <c r="I160" s="27"/>
      <c r="J160" s="27"/>
      <c r="K160" s="28"/>
      <c r="L160" s="27"/>
      <c r="M160" s="27"/>
      <c r="N160" s="28"/>
      <c r="O160" s="27"/>
    </row>
    <row r="161" spans="1:15" ht="20.100000000000001" customHeight="1">
      <c r="A161" s="239">
        <v>1</v>
      </c>
      <c r="B161" s="520" t="s">
        <v>536</v>
      </c>
      <c r="C161" s="236"/>
      <c r="D161" s="236"/>
      <c r="E161" s="237">
        <f>C161+D161</f>
        <v>0</v>
      </c>
      <c r="F161" s="236">
        <v>30</v>
      </c>
      <c r="G161" s="236">
        <v>55</v>
      </c>
      <c r="H161" s="237">
        <f>F161+G161</f>
        <v>85</v>
      </c>
      <c r="I161" s="236"/>
      <c r="J161" s="236"/>
      <c r="K161" s="237">
        <f>I161+J161</f>
        <v>0</v>
      </c>
      <c r="L161" s="236"/>
      <c r="M161" s="236"/>
      <c r="N161" s="237">
        <f>L161+M161</f>
        <v>0</v>
      </c>
      <c r="O161" s="238">
        <f t="shared" ref="O161:O174" si="72">+E161+H161+K161+N161</f>
        <v>85</v>
      </c>
    </row>
    <row r="162" spans="1:15" ht="20.100000000000001" customHeight="1">
      <c r="A162" s="597"/>
      <c r="B162" s="520" t="s">
        <v>1278</v>
      </c>
      <c r="C162" s="236">
        <v>61</v>
      </c>
      <c r="D162" s="236">
        <v>57</v>
      </c>
      <c r="E162" s="237">
        <f>C162+D162</f>
        <v>118</v>
      </c>
      <c r="F162" s="236"/>
      <c r="G162" s="236"/>
      <c r="H162" s="237">
        <f>F162+G162</f>
        <v>0</v>
      </c>
      <c r="I162" s="236"/>
      <c r="J162" s="236"/>
      <c r="K162" s="237">
        <f>I162+J162</f>
        <v>0</v>
      </c>
      <c r="L162" s="236"/>
      <c r="M162" s="236"/>
      <c r="N162" s="237">
        <f>L162+M162</f>
        <v>0</v>
      </c>
      <c r="O162" s="238">
        <f t="shared" si="72"/>
        <v>118</v>
      </c>
    </row>
    <row r="163" spans="1:15" ht="15">
      <c r="A163" s="240">
        <v>2</v>
      </c>
      <c r="B163" s="520" t="s">
        <v>1279</v>
      </c>
      <c r="C163" s="236">
        <v>47</v>
      </c>
      <c r="D163" s="236">
        <v>58</v>
      </c>
      <c r="E163" s="237">
        <f t="shared" ref="E163:E173" si="73">C163+D163</f>
        <v>105</v>
      </c>
      <c r="F163" s="236"/>
      <c r="G163" s="236"/>
      <c r="H163" s="237">
        <f t="shared" ref="H163:H173" si="74">F163+G163</f>
        <v>0</v>
      </c>
      <c r="I163" s="236"/>
      <c r="J163" s="236"/>
      <c r="K163" s="237">
        <f t="shared" ref="K163:K173" si="75">I163+J163</f>
        <v>0</v>
      </c>
      <c r="L163" s="236"/>
      <c r="M163" s="236"/>
      <c r="N163" s="237">
        <f t="shared" ref="N163:N173" si="76">L163+M163</f>
        <v>0</v>
      </c>
      <c r="O163" s="238">
        <f t="shared" si="72"/>
        <v>105</v>
      </c>
    </row>
    <row r="164" spans="1:15" ht="42.75">
      <c r="A164" s="240">
        <v>3</v>
      </c>
      <c r="B164" s="524" t="s">
        <v>1152</v>
      </c>
      <c r="C164" s="236"/>
      <c r="D164" s="236"/>
      <c r="E164" s="237">
        <f t="shared" si="73"/>
        <v>0</v>
      </c>
      <c r="F164" s="236"/>
      <c r="G164" s="236"/>
      <c r="H164" s="237">
        <f t="shared" si="74"/>
        <v>0</v>
      </c>
      <c r="I164" s="236"/>
      <c r="J164" s="236"/>
      <c r="K164" s="237">
        <f t="shared" si="75"/>
        <v>0</v>
      </c>
      <c r="L164" s="236"/>
      <c r="M164" s="236"/>
      <c r="N164" s="237">
        <f t="shared" si="76"/>
        <v>0</v>
      </c>
      <c r="O164" s="238">
        <f t="shared" si="72"/>
        <v>0</v>
      </c>
    </row>
    <row r="165" spans="1:15" ht="28.5">
      <c r="A165" s="240">
        <v>4</v>
      </c>
      <c r="B165" s="520" t="s">
        <v>1153</v>
      </c>
      <c r="C165" s="236"/>
      <c r="D165" s="236"/>
      <c r="E165" s="237">
        <f t="shared" si="73"/>
        <v>0</v>
      </c>
      <c r="F165" s="236"/>
      <c r="G165" s="236"/>
      <c r="H165" s="237">
        <f t="shared" si="74"/>
        <v>0</v>
      </c>
      <c r="I165" s="236"/>
      <c r="J165" s="236"/>
      <c r="K165" s="237">
        <f t="shared" si="75"/>
        <v>0</v>
      </c>
      <c r="L165" s="236"/>
      <c r="M165" s="236"/>
      <c r="N165" s="237">
        <f t="shared" si="76"/>
        <v>0</v>
      </c>
      <c r="O165" s="238">
        <f t="shared" si="72"/>
        <v>0</v>
      </c>
    </row>
    <row r="166" spans="1:15" ht="20.100000000000001" customHeight="1">
      <c r="A166" s="240">
        <v>5</v>
      </c>
      <c r="B166" s="520" t="s">
        <v>1154</v>
      </c>
      <c r="C166" s="236"/>
      <c r="D166" s="236"/>
      <c r="E166" s="237">
        <f t="shared" si="73"/>
        <v>0</v>
      </c>
      <c r="F166" s="236"/>
      <c r="G166" s="236"/>
      <c r="H166" s="237">
        <f t="shared" si="74"/>
        <v>0</v>
      </c>
      <c r="I166" s="236"/>
      <c r="J166" s="236"/>
      <c r="K166" s="237">
        <f t="shared" si="75"/>
        <v>0</v>
      </c>
      <c r="L166" s="236"/>
      <c r="M166" s="236"/>
      <c r="N166" s="237">
        <f t="shared" si="76"/>
        <v>0</v>
      </c>
      <c r="O166" s="238">
        <f t="shared" si="72"/>
        <v>0</v>
      </c>
    </row>
    <row r="167" spans="1:15" ht="20.100000000000001" customHeight="1">
      <c r="A167" s="240">
        <v>6</v>
      </c>
      <c r="B167" s="520" t="s">
        <v>482</v>
      </c>
      <c r="C167" s="236">
        <v>28</v>
      </c>
      <c r="D167" s="236"/>
      <c r="E167" s="237">
        <f t="shared" si="73"/>
        <v>28</v>
      </c>
      <c r="F167" s="236"/>
      <c r="G167" s="236"/>
      <c r="H167" s="237">
        <f t="shared" si="74"/>
        <v>0</v>
      </c>
      <c r="I167" s="236"/>
      <c r="J167" s="236"/>
      <c r="K167" s="237">
        <f t="shared" si="75"/>
        <v>0</v>
      </c>
      <c r="L167" s="236"/>
      <c r="M167" s="236"/>
      <c r="N167" s="237">
        <f t="shared" si="76"/>
        <v>0</v>
      </c>
      <c r="O167" s="238">
        <f t="shared" si="72"/>
        <v>28</v>
      </c>
    </row>
    <row r="168" spans="1:15" ht="20.100000000000001" customHeight="1">
      <c r="A168" s="240">
        <v>7</v>
      </c>
      <c r="B168" s="520" t="s">
        <v>480</v>
      </c>
      <c r="C168" s="236"/>
      <c r="D168" s="236"/>
      <c r="E168" s="237">
        <f t="shared" si="73"/>
        <v>0</v>
      </c>
      <c r="F168" s="236"/>
      <c r="G168" s="236"/>
      <c r="H168" s="237">
        <f t="shared" si="74"/>
        <v>0</v>
      </c>
      <c r="I168" s="236"/>
      <c r="J168" s="236"/>
      <c r="K168" s="237">
        <f t="shared" si="75"/>
        <v>0</v>
      </c>
      <c r="L168" s="236"/>
      <c r="M168" s="236"/>
      <c r="N168" s="237">
        <f t="shared" si="76"/>
        <v>0</v>
      </c>
      <c r="O168" s="238">
        <f t="shared" si="72"/>
        <v>0</v>
      </c>
    </row>
    <row r="169" spans="1:15" ht="20.100000000000001" customHeight="1">
      <c r="A169" s="240">
        <v>8</v>
      </c>
      <c r="B169" s="520" t="s">
        <v>1155</v>
      </c>
      <c r="C169" s="236"/>
      <c r="D169" s="236"/>
      <c r="E169" s="237">
        <f t="shared" si="73"/>
        <v>0</v>
      </c>
      <c r="F169" s="236"/>
      <c r="G169" s="236"/>
      <c r="H169" s="237">
        <f t="shared" si="74"/>
        <v>0</v>
      </c>
      <c r="I169" s="236"/>
      <c r="J169" s="236"/>
      <c r="K169" s="237">
        <f t="shared" si="75"/>
        <v>0</v>
      </c>
      <c r="L169" s="236"/>
      <c r="M169" s="236"/>
      <c r="N169" s="237">
        <f t="shared" si="76"/>
        <v>0</v>
      </c>
      <c r="O169" s="238">
        <f t="shared" si="72"/>
        <v>0</v>
      </c>
    </row>
    <row r="170" spans="1:15" ht="20.100000000000001" customHeight="1">
      <c r="A170" s="240">
        <v>9</v>
      </c>
      <c r="B170" s="520" t="s">
        <v>548</v>
      </c>
      <c r="C170" s="236">
        <v>103</v>
      </c>
      <c r="D170" s="236">
        <v>93</v>
      </c>
      <c r="E170" s="237">
        <f t="shared" si="73"/>
        <v>196</v>
      </c>
      <c r="F170" s="236"/>
      <c r="G170" s="236"/>
      <c r="H170" s="237">
        <f t="shared" si="74"/>
        <v>0</v>
      </c>
      <c r="I170" s="236"/>
      <c r="J170" s="236"/>
      <c r="K170" s="237">
        <f t="shared" si="75"/>
        <v>0</v>
      </c>
      <c r="L170" s="236"/>
      <c r="M170" s="236"/>
      <c r="N170" s="237">
        <f t="shared" si="76"/>
        <v>0</v>
      </c>
      <c r="O170" s="238">
        <f t="shared" si="72"/>
        <v>196</v>
      </c>
    </row>
    <row r="171" spans="1:15" ht="28.5">
      <c r="A171" s="240">
        <v>10</v>
      </c>
      <c r="B171" s="520" t="s">
        <v>1156</v>
      </c>
      <c r="C171" s="236">
        <v>2</v>
      </c>
      <c r="D171" s="236"/>
      <c r="E171" s="237">
        <f t="shared" si="73"/>
        <v>2</v>
      </c>
      <c r="F171" s="236"/>
      <c r="G171" s="236"/>
      <c r="H171" s="237">
        <f t="shared" si="74"/>
        <v>0</v>
      </c>
      <c r="I171" s="236"/>
      <c r="J171" s="236"/>
      <c r="K171" s="237">
        <f t="shared" si="75"/>
        <v>0</v>
      </c>
      <c r="L171" s="236"/>
      <c r="M171" s="236"/>
      <c r="N171" s="237">
        <f t="shared" si="76"/>
        <v>0</v>
      </c>
      <c r="O171" s="238">
        <f t="shared" si="72"/>
        <v>2</v>
      </c>
    </row>
    <row r="172" spans="1:15" ht="15">
      <c r="A172" s="240">
        <v>11</v>
      </c>
      <c r="B172" s="520" t="s">
        <v>1144</v>
      </c>
      <c r="C172" s="236"/>
      <c r="D172" s="236"/>
      <c r="E172" s="237"/>
      <c r="F172" s="236"/>
      <c r="G172" s="236"/>
      <c r="H172" s="237"/>
      <c r="I172" s="236"/>
      <c r="J172" s="236"/>
      <c r="K172" s="237"/>
      <c r="L172" s="236"/>
      <c r="M172" s="236"/>
      <c r="N172" s="237"/>
      <c r="O172" s="238">
        <f t="shared" si="72"/>
        <v>0</v>
      </c>
    </row>
    <row r="173" spans="1:15" ht="20.100000000000001" customHeight="1">
      <c r="A173" s="240">
        <v>12</v>
      </c>
      <c r="B173" s="520" t="s">
        <v>552</v>
      </c>
      <c r="C173" s="236">
        <v>28</v>
      </c>
      <c r="D173" s="236">
        <v>14</v>
      </c>
      <c r="E173" s="237">
        <f t="shared" si="73"/>
        <v>42</v>
      </c>
      <c r="F173" s="236">
        <v>18</v>
      </c>
      <c r="G173" s="236">
        <v>17</v>
      </c>
      <c r="H173" s="237">
        <f t="shared" si="74"/>
        <v>35</v>
      </c>
      <c r="I173" s="236"/>
      <c r="J173" s="236"/>
      <c r="K173" s="237">
        <f t="shared" si="75"/>
        <v>0</v>
      </c>
      <c r="L173" s="236"/>
      <c r="M173" s="236"/>
      <c r="N173" s="237">
        <f t="shared" si="76"/>
        <v>0</v>
      </c>
      <c r="O173" s="238">
        <f t="shared" si="72"/>
        <v>77</v>
      </c>
    </row>
    <row r="174" spans="1:15" ht="20.100000000000001" customHeight="1">
      <c r="A174" s="1512" t="s">
        <v>893</v>
      </c>
      <c r="B174" s="1513"/>
      <c r="C174" s="252">
        <f>SUM(C161:C173)</f>
        <v>269</v>
      </c>
      <c r="D174" s="253">
        <f>SUM(D161:D173)</f>
        <v>222</v>
      </c>
      <c r="E174" s="254">
        <f>C174+D174</f>
        <v>491</v>
      </c>
      <c r="F174" s="252">
        <f>SUM(F161:F173)</f>
        <v>48</v>
      </c>
      <c r="G174" s="253">
        <f>SUM(G161:G173)</f>
        <v>72</v>
      </c>
      <c r="H174" s="254">
        <f>F174+G174</f>
        <v>120</v>
      </c>
      <c r="I174" s="252">
        <f>SUM(I161:I173)</f>
        <v>0</v>
      </c>
      <c r="J174" s="253">
        <f>SUM(J161:J173)</f>
        <v>0</v>
      </c>
      <c r="K174" s="254">
        <f>I174+J174</f>
        <v>0</v>
      </c>
      <c r="L174" s="252">
        <f>SUM(L161:L173)</f>
        <v>0</v>
      </c>
      <c r="M174" s="253">
        <f>SUM(M161:M173)</f>
        <v>0</v>
      </c>
      <c r="N174" s="254">
        <f>L174+M174</f>
        <v>0</v>
      </c>
      <c r="O174" s="238">
        <f t="shared" si="72"/>
        <v>611</v>
      </c>
    </row>
    <row r="175" spans="1:15" ht="20.100000000000001" customHeight="1">
      <c r="A175" s="1518" t="s">
        <v>1157</v>
      </c>
      <c r="B175" s="1518"/>
      <c r="C175" s="1518"/>
      <c r="D175" s="1518"/>
      <c r="E175" s="1518"/>
      <c r="F175" s="1518"/>
      <c r="G175" s="1518"/>
      <c r="H175" s="1518"/>
      <c r="I175" s="1518"/>
      <c r="J175" s="1518"/>
      <c r="K175" s="1518"/>
      <c r="L175" s="1518"/>
      <c r="M175" s="1518"/>
      <c r="N175" s="1518"/>
      <c r="O175" s="1518"/>
    </row>
    <row r="176" spans="1:15" ht="28.5">
      <c r="A176" s="239">
        <v>1</v>
      </c>
      <c r="B176" s="529" t="s">
        <v>1158</v>
      </c>
      <c r="C176" s="25"/>
      <c r="D176" s="25">
        <v>77</v>
      </c>
      <c r="E176" s="234">
        <f t="shared" ref="E176:E182" si="77">C176+D176</f>
        <v>77</v>
      </c>
      <c r="F176" s="25"/>
      <c r="G176" s="25"/>
      <c r="H176" s="234">
        <f t="shared" ref="H176:H182" si="78">F176+G176</f>
        <v>0</v>
      </c>
      <c r="I176" s="25"/>
      <c r="J176" s="25"/>
      <c r="K176" s="234">
        <f t="shared" ref="K176:K182" si="79">I176+J176</f>
        <v>0</v>
      </c>
      <c r="L176" s="25"/>
      <c r="M176" s="25"/>
      <c r="N176" s="234">
        <f t="shared" ref="N176:N182" si="80">L176+M176</f>
        <v>0</v>
      </c>
      <c r="O176" s="238">
        <f t="shared" ref="O176:O181" si="81">+E176+H176+K176+N176</f>
        <v>77</v>
      </c>
    </row>
    <row r="177" spans="1:15" ht="28.5">
      <c r="A177" s="240">
        <v>2</v>
      </c>
      <c r="B177" s="529" t="s">
        <v>1159</v>
      </c>
      <c r="C177" s="236">
        <v>104</v>
      </c>
      <c r="D177" s="236">
        <v>15</v>
      </c>
      <c r="E177" s="237">
        <f t="shared" si="77"/>
        <v>119</v>
      </c>
      <c r="F177" s="236">
        <v>65</v>
      </c>
      <c r="G177" s="236">
        <v>8</v>
      </c>
      <c r="H177" s="237">
        <f t="shared" si="78"/>
        <v>73</v>
      </c>
      <c r="I177" s="236"/>
      <c r="J177" s="236"/>
      <c r="K177" s="237">
        <f t="shared" si="79"/>
        <v>0</v>
      </c>
      <c r="L177" s="236"/>
      <c r="M177" s="236"/>
      <c r="N177" s="237">
        <f t="shared" si="80"/>
        <v>0</v>
      </c>
      <c r="O177" s="238">
        <f t="shared" si="81"/>
        <v>192</v>
      </c>
    </row>
    <row r="178" spans="1:15" ht="28.5">
      <c r="A178" s="240">
        <v>3</v>
      </c>
      <c r="B178" s="520" t="s">
        <v>1160</v>
      </c>
      <c r="C178" s="236"/>
      <c r="D178" s="236"/>
      <c r="E178" s="237">
        <f t="shared" si="77"/>
        <v>0</v>
      </c>
      <c r="F178" s="236"/>
      <c r="G178" s="236"/>
      <c r="H178" s="237">
        <f t="shared" si="78"/>
        <v>0</v>
      </c>
      <c r="I178" s="236"/>
      <c r="J178" s="236"/>
      <c r="K178" s="237">
        <f t="shared" si="79"/>
        <v>0</v>
      </c>
      <c r="L178" s="236"/>
      <c r="M178" s="236"/>
      <c r="N178" s="237">
        <f t="shared" si="80"/>
        <v>0</v>
      </c>
      <c r="O178" s="238">
        <f t="shared" si="81"/>
        <v>0</v>
      </c>
    </row>
    <row r="179" spans="1:15" ht="28.5">
      <c r="A179" s="240">
        <v>4</v>
      </c>
      <c r="B179" s="520" t="s">
        <v>1161</v>
      </c>
      <c r="C179" s="236"/>
      <c r="D179" s="236"/>
      <c r="E179" s="237">
        <f t="shared" si="77"/>
        <v>0</v>
      </c>
      <c r="F179" s="236"/>
      <c r="G179" s="236"/>
      <c r="H179" s="237">
        <f t="shared" si="78"/>
        <v>0</v>
      </c>
      <c r="I179" s="236"/>
      <c r="J179" s="236"/>
      <c r="K179" s="237">
        <f t="shared" si="79"/>
        <v>0</v>
      </c>
      <c r="L179" s="236"/>
      <c r="M179" s="236"/>
      <c r="N179" s="237">
        <f t="shared" si="80"/>
        <v>0</v>
      </c>
      <c r="O179" s="238">
        <f t="shared" si="81"/>
        <v>0</v>
      </c>
    </row>
    <row r="180" spans="1:15" ht="28.5">
      <c r="A180" s="240">
        <v>5</v>
      </c>
      <c r="B180" s="520" t="s">
        <v>1162</v>
      </c>
      <c r="C180" s="236"/>
      <c r="D180" s="236"/>
      <c r="E180" s="237">
        <f t="shared" si="77"/>
        <v>0</v>
      </c>
      <c r="F180" s="236"/>
      <c r="G180" s="236"/>
      <c r="H180" s="237">
        <f t="shared" si="78"/>
        <v>0</v>
      </c>
      <c r="I180" s="236"/>
      <c r="J180" s="236"/>
      <c r="K180" s="237">
        <f t="shared" si="79"/>
        <v>0</v>
      </c>
      <c r="L180" s="236"/>
      <c r="M180" s="236"/>
      <c r="N180" s="237">
        <f t="shared" si="80"/>
        <v>0</v>
      </c>
      <c r="O180" s="238">
        <f t="shared" si="81"/>
        <v>0</v>
      </c>
    </row>
    <row r="181" spans="1:15" ht="20.100000000000001" customHeight="1">
      <c r="A181" s="269">
        <v>6</v>
      </c>
      <c r="B181" s="243"/>
      <c r="C181" s="235"/>
      <c r="D181" s="235"/>
      <c r="E181" s="196">
        <f t="shared" si="77"/>
        <v>0</v>
      </c>
      <c r="F181" s="235"/>
      <c r="G181" s="235"/>
      <c r="H181" s="196">
        <f t="shared" si="78"/>
        <v>0</v>
      </c>
      <c r="I181" s="235"/>
      <c r="J181" s="235"/>
      <c r="K181" s="196">
        <f t="shared" si="79"/>
        <v>0</v>
      </c>
      <c r="L181" s="235"/>
      <c r="M181" s="235"/>
      <c r="N181" s="196">
        <f t="shared" si="80"/>
        <v>0</v>
      </c>
      <c r="O181" s="238">
        <f t="shared" si="81"/>
        <v>0</v>
      </c>
    </row>
    <row r="182" spans="1:15" ht="20.100000000000001" customHeight="1">
      <c r="A182" s="1512" t="s">
        <v>893</v>
      </c>
      <c r="B182" s="1513"/>
      <c r="C182" s="244">
        <f>SUM(C176:C180)</f>
        <v>104</v>
      </c>
      <c r="D182" s="245">
        <f>SUM(D176:D180)</f>
        <v>92</v>
      </c>
      <c r="E182" s="30">
        <f t="shared" si="77"/>
        <v>196</v>
      </c>
      <c r="F182" s="244">
        <f>SUM(F176:F180)</f>
        <v>65</v>
      </c>
      <c r="G182" s="245">
        <f>SUM(G176:G180)</f>
        <v>8</v>
      </c>
      <c r="H182" s="30">
        <f t="shared" si="78"/>
        <v>73</v>
      </c>
      <c r="I182" s="244">
        <f>SUM(I176:I180)</f>
        <v>0</v>
      </c>
      <c r="J182" s="245">
        <f>SUM(J176:J180)</f>
        <v>0</v>
      </c>
      <c r="K182" s="30">
        <f t="shared" si="79"/>
        <v>0</v>
      </c>
      <c r="L182" s="244">
        <f>SUM(L176:L180)</f>
        <v>0</v>
      </c>
      <c r="M182" s="245">
        <f>SUM(M176:M180)</f>
        <v>0</v>
      </c>
      <c r="N182" s="30">
        <f t="shared" si="80"/>
        <v>0</v>
      </c>
      <c r="O182" s="250">
        <f>E182+H182+K182+N182</f>
        <v>269</v>
      </c>
    </row>
    <row r="183" spans="1:15" ht="20.100000000000001" customHeight="1">
      <c r="A183" s="1517" t="s">
        <v>878</v>
      </c>
      <c r="B183" s="1517"/>
      <c r="C183" s="1497" t="s">
        <v>1103</v>
      </c>
      <c r="D183" s="1498"/>
      <c r="E183" s="1498"/>
      <c r="F183" s="1498"/>
      <c r="G183" s="1498"/>
      <c r="H183" s="1498"/>
      <c r="I183" s="1499"/>
      <c r="J183" s="1499"/>
      <c r="K183" s="1499"/>
      <c r="L183" s="1499"/>
      <c r="M183" s="1499"/>
      <c r="N183" s="1499"/>
      <c r="O183" s="1500"/>
    </row>
    <row r="184" spans="1:15" ht="20.100000000000001" customHeight="1">
      <c r="A184" s="1517"/>
      <c r="B184" s="1517"/>
      <c r="C184" s="1501" t="s">
        <v>154</v>
      </c>
      <c r="D184" s="1502" t="s">
        <v>155</v>
      </c>
      <c r="E184" s="1503"/>
      <c r="F184" s="1504" t="s">
        <v>156</v>
      </c>
      <c r="G184" s="1505"/>
      <c r="H184" s="1506"/>
      <c r="I184" s="1507" t="s">
        <v>157</v>
      </c>
      <c r="J184" s="1508"/>
      <c r="K184" s="1509"/>
      <c r="L184" s="1501" t="s">
        <v>136</v>
      </c>
      <c r="M184" s="1502"/>
      <c r="N184" s="1503"/>
      <c r="O184" s="1510" t="s">
        <v>138</v>
      </c>
    </row>
    <row r="185" spans="1:15" ht="42" customHeight="1">
      <c r="A185" s="1517"/>
      <c r="B185" s="1517"/>
      <c r="C185" s="229" t="s">
        <v>140</v>
      </c>
      <c r="D185" s="230" t="s">
        <v>141</v>
      </c>
      <c r="E185" s="24" t="s">
        <v>138</v>
      </c>
      <c r="F185" s="229" t="s">
        <v>140</v>
      </c>
      <c r="G185" s="230" t="s">
        <v>141</v>
      </c>
      <c r="H185" s="24" t="s">
        <v>138</v>
      </c>
      <c r="I185" s="229" t="s">
        <v>140</v>
      </c>
      <c r="J185" s="230" t="s">
        <v>141</v>
      </c>
      <c r="K185" s="24" t="s">
        <v>138</v>
      </c>
      <c r="L185" s="229" t="s">
        <v>140</v>
      </c>
      <c r="M185" s="230" t="s">
        <v>141</v>
      </c>
      <c r="N185" s="24" t="s">
        <v>138</v>
      </c>
      <c r="O185" s="1511"/>
    </row>
    <row r="186" spans="1:15" ht="20.100000000000001" customHeight="1">
      <c r="A186" s="1476" t="s">
        <v>879</v>
      </c>
      <c r="B186" s="1478"/>
      <c r="C186" s="27"/>
      <c r="D186" s="27"/>
      <c r="E186" s="28"/>
      <c r="F186" s="27"/>
      <c r="G186" s="27"/>
      <c r="H186" s="28"/>
      <c r="I186" s="27"/>
      <c r="J186" s="27"/>
      <c r="K186" s="28"/>
      <c r="L186" s="27"/>
      <c r="M186" s="27"/>
      <c r="N186" s="28"/>
      <c r="O186" s="27"/>
    </row>
    <row r="187" spans="1:15" ht="20.100000000000001" customHeight="1">
      <c r="A187" s="239">
        <v>1</v>
      </c>
      <c r="B187" s="241"/>
      <c r="C187" s="25"/>
      <c r="D187" s="25"/>
      <c r="E187" s="234">
        <f>C187+D187</f>
        <v>0</v>
      </c>
      <c r="F187" s="25"/>
      <c r="G187" s="25"/>
      <c r="H187" s="234">
        <f>F187+G187</f>
        <v>0</v>
      </c>
      <c r="I187" s="25"/>
      <c r="J187" s="25"/>
      <c r="K187" s="234">
        <f>I187+J187</f>
        <v>0</v>
      </c>
      <c r="L187" s="25"/>
      <c r="M187" s="25"/>
      <c r="N187" s="234">
        <f>L187+M187</f>
        <v>0</v>
      </c>
      <c r="O187" s="26">
        <f>M187+N187</f>
        <v>0</v>
      </c>
    </row>
    <row r="188" spans="1:15" ht="20.100000000000001" customHeight="1">
      <c r="A188" s="240">
        <v>2</v>
      </c>
      <c r="B188" s="242"/>
      <c r="C188" s="236"/>
      <c r="D188" s="236"/>
      <c r="E188" s="237">
        <f>C188+D188</f>
        <v>0</v>
      </c>
      <c r="F188" s="236"/>
      <c r="G188" s="236"/>
      <c r="H188" s="237">
        <f>F188+G188</f>
        <v>0</v>
      </c>
      <c r="I188" s="236"/>
      <c r="J188" s="236"/>
      <c r="K188" s="237">
        <f>I188+J188</f>
        <v>0</v>
      </c>
      <c r="L188" s="236"/>
      <c r="M188" s="236"/>
      <c r="N188" s="237">
        <f>L188+M188</f>
        <v>0</v>
      </c>
      <c r="O188" s="238">
        <f>M188+N188</f>
        <v>0</v>
      </c>
    </row>
    <row r="189" spans="1:15" ht="20.100000000000001" customHeight="1">
      <c r="A189" s="240">
        <v>3</v>
      </c>
      <c r="B189" s="242"/>
      <c r="C189" s="236"/>
      <c r="D189" s="236"/>
      <c r="E189" s="237">
        <f t="shared" ref="E189:E192" si="82">C189+D189</f>
        <v>0</v>
      </c>
      <c r="F189" s="236"/>
      <c r="G189" s="236"/>
      <c r="H189" s="237">
        <f t="shared" ref="H189:H192" si="83">F189+G189</f>
        <v>0</v>
      </c>
      <c r="I189" s="236"/>
      <c r="J189" s="236"/>
      <c r="K189" s="237">
        <f t="shared" ref="K189:K192" si="84">I189+J189</f>
        <v>0</v>
      </c>
      <c r="L189" s="236"/>
      <c r="M189" s="236"/>
      <c r="N189" s="237">
        <f t="shared" ref="N189:O192" si="85">L189+M189</f>
        <v>0</v>
      </c>
      <c r="O189" s="238">
        <f t="shared" si="85"/>
        <v>0</v>
      </c>
    </row>
    <row r="190" spans="1:15" ht="20.100000000000001" customHeight="1">
      <c r="A190" s="240">
        <v>4</v>
      </c>
      <c r="B190" s="242"/>
      <c r="C190" s="236"/>
      <c r="D190" s="236"/>
      <c r="E190" s="237">
        <f t="shared" si="82"/>
        <v>0</v>
      </c>
      <c r="F190" s="236"/>
      <c r="G190" s="236"/>
      <c r="H190" s="237">
        <f t="shared" si="83"/>
        <v>0</v>
      </c>
      <c r="I190" s="236"/>
      <c r="J190" s="236"/>
      <c r="K190" s="237">
        <f t="shared" si="84"/>
        <v>0</v>
      </c>
      <c r="L190" s="236"/>
      <c r="M190" s="236"/>
      <c r="N190" s="237">
        <f t="shared" si="85"/>
        <v>0</v>
      </c>
      <c r="O190" s="238">
        <f t="shared" si="85"/>
        <v>0</v>
      </c>
    </row>
    <row r="191" spans="1:15" ht="20.100000000000001" customHeight="1">
      <c r="A191" s="240">
        <v>5</v>
      </c>
      <c r="B191" s="242"/>
      <c r="C191" s="236"/>
      <c r="D191" s="236"/>
      <c r="E191" s="237">
        <f t="shared" si="82"/>
        <v>0</v>
      </c>
      <c r="F191" s="236"/>
      <c r="G191" s="236"/>
      <c r="H191" s="237">
        <f t="shared" si="83"/>
        <v>0</v>
      </c>
      <c r="I191" s="236"/>
      <c r="J191" s="236"/>
      <c r="K191" s="237">
        <f t="shared" si="84"/>
        <v>0</v>
      </c>
      <c r="L191" s="236"/>
      <c r="M191" s="236"/>
      <c r="N191" s="237">
        <f t="shared" si="85"/>
        <v>0</v>
      </c>
      <c r="O191" s="238">
        <f t="shared" si="85"/>
        <v>0</v>
      </c>
    </row>
    <row r="192" spans="1:15" ht="20.100000000000001" customHeight="1">
      <c r="A192" s="269">
        <v>6</v>
      </c>
      <c r="B192" s="243"/>
      <c r="C192" s="235"/>
      <c r="D192" s="235"/>
      <c r="E192" s="196">
        <f t="shared" si="82"/>
        <v>0</v>
      </c>
      <c r="F192" s="235"/>
      <c r="G192" s="235"/>
      <c r="H192" s="196">
        <f t="shared" si="83"/>
        <v>0</v>
      </c>
      <c r="I192" s="235"/>
      <c r="J192" s="235"/>
      <c r="K192" s="196">
        <f t="shared" si="84"/>
        <v>0</v>
      </c>
      <c r="L192" s="235"/>
      <c r="M192" s="235"/>
      <c r="N192" s="196">
        <f t="shared" si="85"/>
        <v>0</v>
      </c>
      <c r="O192" s="29">
        <f t="shared" si="85"/>
        <v>0</v>
      </c>
    </row>
    <row r="193" spans="1:15" ht="20.100000000000001" customHeight="1">
      <c r="A193" s="1512" t="s">
        <v>893</v>
      </c>
      <c r="B193" s="1513"/>
      <c r="C193" s="231">
        <f>SUM(C187:C191)</f>
        <v>0</v>
      </c>
      <c r="D193" s="232">
        <f>SUM(D187:D191)</f>
        <v>0</v>
      </c>
      <c r="E193" s="233">
        <f>C193+D193</f>
        <v>0</v>
      </c>
      <c r="F193" s="231">
        <f>SUM(F187:F191)</f>
        <v>0</v>
      </c>
      <c r="G193" s="232">
        <f>SUM(G187:G191)</f>
        <v>0</v>
      </c>
      <c r="H193" s="233">
        <f>F193+G193</f>
        <v>0</v>
      </c>
      <c r="I193" s="231">
        <f>SUM(I187:I191)</f>
        <v>0</v>
      </c>
      <c r="J193" s="232">
        <f>SUM(J187:J191)</f>
        <v>0</v>
      </c>
      <c r="K193" s="233">
        <f>I193+J193</f>
        <v>0</v>
      </c>
      <c r="L193" s="231">
        <f>SUM(L187:L191)</f>
        <v>0</v>
      </c>
      <c r="M193" s="232">
        <f>SUM(M187:M191)</f>
        <v>0</v>
      </c>
      <c r="N193" s="233">
        <f>L193+M193</f>
        <v>0</v>
      </c>
      <c r="O193" s="249">
        <f>E193+H193+K193+N193</f>
        <v>0</v>
      </c>
    </row>
    <row r="194" spans="1:15" ht="20.100000000000001" customHeight="1">
      <c r="A194" s="1476" t="s">
        <v>149</v>
      </c>
      <c r="B194" s="1478"/>
      <c r="C194" s="27"/>
      <c r="D194" s="27"/>
      <c r="E194" s="28"/>
      <c r="F194" s="27"/>
      <c r="G194" s="27"/>
      <c r="H194" s="28"/>
      <c r="I194" s="27"/>
      <c r="J194" s="27"/>
      <c r="K194" s="28"/>
      <c r="L194" s="27"/>
      <c r="M194" s="27"/>
      <c r="N194" s="28"/>
      <c r="O194" s="27"/>
    </row>
    <row r="195" spans="1:15" ht="20.100000000000001" customHeight="1">
      <c r="A195" s="239">
        <v>1</v>
      </c>
      <c r="B195" s="241"/>
      <c r="C195" s="25"/>
      <c r="D195" s="25"/>
      <c r="E195" s="234">
        <f>C195+D195</f>
        <v>0</v>
      </c>
      <c r="F195" s="25"/>
      <c r="G195" s="25"/>
      <c r="H195" s="234">
        <f>F195+G195</f>
        <v>0</v>
      </c>
      <c r="I195" s="25"/>
      <c r="J195" s="25"/>
      <c r="K195" s="234">
        <f>I195+J195</f>
        <v>0</v>
      </c>
      <c r="L195" s="25"/>
      <c r="M195" s="25"/>
      <c r="N195" s="234">
        <f>L195+M195</f>
        <v>0</v>
      </c>
      <c r="O195" s="26">
        <f>M195+N195</f>
        <v>0</v>
      </c>
    </row>
    <row r="196" spans="1:15" ht="20.100000000000001" customHeight="1">
      <c r="A196" s="240">
        <v>2</v>
      </c>
      <c r="B196" s="242"/>
      <c r="C196" s="236"/>
      <c r="D196" s="236"/>
      <c r="E196" s="237">
        <f>C196+D196</f>
        <v>0</v>
      </c>
      <c r="F196" s="236"/>
      <c r="G196" s="236"/>
      <c r="H196" s="237">
        <f>F196+G196</f>
        <v>0</v>
      </c>
      <c r="I196" s="236"/>
      <c r="J196" s="236"/>
      <c r="K196" s="237">
        <f>I196+J196</f>
        <v>0</v>
      </c>
      <c r="L196" s="236"/>
      <c r="M196" s="236"/>
      <c r="N196" s="237">
        <f>L196+M196</f>
        <v>0</v>
      </c>
      <c r="O196" s="238">
        <f>M196+N196</f>
        <v>0</v>
      </c>
    </row>
    <row r="197" spans="1:15" ht="20.100000000000001" customHeight="1">
      <c r="A197" s="240">
        <v>3</v>
      </c>
      <c r="B197" s="242"/>
      <c r="C197" s="236"/>
      <c r="D197" s="236"/>
      <c r="E197" s="237">
        <f t="shared" ref="E197:E200" si="86">C197+D197</f>
        <v>0</v>
      </c>
      <c r="F197" s="236"/>
      <c r="G197" s="236"/>
      <c r="H197" s="237">
        <f t="shared" ref="H197:H200" si="87">F197+G197</f>
        <v>0</v>
      </c>
      <c r="I197" s="236"/>
      <c r="J197" s="236"/>
      <c r="K197" s="237">
        <f t="shared" ref="K197:K200" si="88">I197+J197</f>
        <v>0</v>
      </c>
      <c r="L197" s="236"/>
      <c r="M197" s="236"/>
      <c r="N197" s="237">
        <f t="shared" ref="N197:O200" si="89">L197+M197</f>
        <v>0</v>
      </c>
      <c r="O197" s="238">
        <f t="shared" si="89"/>
        <v>0</v>
      </c>
    </row>
    <row r="198" spans="1:15" ht="20.100000000000001" customHeight="1">
      <c r="A198" s="240">
        <v>4</v>
      </c>
      <c r="B198" s="242"/>
      <c r="C198" s="236"/>
      <c r="D198" s="236"/>
      <c r="E198" s="237">
        <f t="shared" si="86"/>
        <v>0</v>
      </c>
      <c r="F198" s="236"/>
      <c r="G198" s="236"/>
      <c r="H198" s="237">
        <f t="shared" si="87"/>
        <v>0</v>
      </c>
      <c r="I198" s="236"/>
      <c r="J198" s="236"/>
      <c r="K198" s="237">
        <f t="shared" si="88"/>
        <v>0</v>
      </c>
      <c r="L198" s="236"/>
      <c r="M198" s="236"/>
      <c r="N198" s="237">
        <f t="shared" si="89"/>
        <v>0</v>
      </c>
      <c r="O198" s="238">
        <f t="shared" si="89"/>
        <v>0</v>
      </c>
    </row>
    <row r="199" spans="1:15" ht="20.100000000000001" customHeight="1">
      <c r="A199" s="240">
        <v>5</v>
      </c>
      <c r="B199" s="242"/>
      <c r="C199" s="236"/>
      <c r="D199" s="236"/>
      <c r="E199" s="237">
        <f t="shared" si="86"/>
        <v>0</v>
      </c>
      <c r="F199" s="236"/>
      <c r="G199" s="236"/>
      <c r="H199" s="237">
        <f t="shared" si="87"/>
        <v>0</v>
      </c>
      <c r="I199" s="236"/>
      <c r="J199" s="236"/>
      <c r="K199" s="237">
        <f t="shared" si="88"/>
        <v>0</v>
      </c>
      <c r="L199" s="236"/>
      <c r="M199" s="236"/>
      <c r="N199" s="237">
        <f t="shared" si="89"/>
        <v>0</v>
      </c>
      <c r="O199" s="238">
        <f t="shared" si="89"/>
        <v>0</v>
      </c>
    </row>
    <row r="200" spans="1:15" ht="20.100000000000001" customHeight="1">
      <c r="A200" s="269">
        <v>6</v>
      </c>
      <c r="B200" s="243"/>
      <c r="C200" s="235"/>
      <c r="D200" s="235"/>
      <c r="E200" s="196">
        <f t="shared" si="86"/>
        <v>0</v>
      </c>
      <c r="F200" s="235"/>
      <c r="G200" s="235"/>
      <c r="H200" s="196">
        <f t="shared" si="87"/>
        <v>0</v>
      </c>
      <c r="I200" s="235"/>
      <c r="J200" s="235"/>
      <c r="K200" s="196">
        <f t="shared" si="88"/>
        <v>0</v>
      </c>
      <c r="L200" s="235"/>
      <c r="M200" s="235"/>
      <c r="N200" s="196">
        <f t="shared" si="89"/>
        <v>0</v>
      </c>
      <c r="O200" s="29">
        <f t="shared" si="89"/>
        <v>0</v>
      </c>
    </row>
    <row r="201" spans="1:15" ht="20.100000000000001" customHeight="1">
      <c r="A201" s="1512" t="s">
        <v>893</v>
      </c>
      <c r="B201" s="1513"/>
      <c r="C201" s="231">
        <f>SUM(C195:C199)</f>
        <v>0</v>
      </c>
      <c r="D201" s="232">
        <f>SUM(D195:D199)</f>
        <v>0</v>
      </c>
      <c r="E201" s="233">
        <f>C201+D201</f>
        <v>0</v>
      </c>
      <c r="F201" s="231">
        <f>SUM(F195:F199)</f>
        <v>0</v>
      </c>
      <c r="G201" s="232">
        <f>SUM(G195:G199)</f>
        <v>0</v>
      </c>
      <c r="H201" s="233">
        <f>F201+G201</f>
        <v>0</v>
      </c>
      <c r="I201" s="231">
        <f>SUM(I195:I199)</f>
        <v>0</v>
      </c>
      <c r="J201" s="232">
        <f>SUM(J195:J199)</f>
        <v>0</v>
      </c>
      <c r="K201" s="233">
        <f>I201+J201</f>
        <v>0</v>
      </c>
      <c r="L201" s="231">
        <f>SUM(L195:L199)</f>
        <v>0</v>
      </c>
      <c r="M201" s="232">
        <f>SUM(M195:M199)</f>
        <v>0</v>
      </c>
      <c r="N201" s="233">
        <f>L201+M201</f>
        <v>0</v>
      </c>
      <c r="O201" s="249">
        <f>E201+H201+K201+N201</f>
        <v>0</v>
      </c>
    </row>
    <row r="202" spans="1:15" ht="20.100000000000001" customHeight="1">
      <c r="A202" s="1476" t="s">
        <v>150</v>
      </c>
      <c r="B202" s="1478"/>
      <c r="C202" s="27"/>
      <c r="D202" s="27"/>
      <c r="E202" s="28"/>
      <c r="F202" s="27"/>
      <c r="G202" s="27"/>
      <c r="H202" s="28"/>
      <c r="I202" s="27"/>
      <c r="J202" s="27"/>
      <c r="K202" s="28"/>
      <c r="L202" s="27"/>
      <c r="M202" s="27"/>
      <c r="N202" s="28"/>
      <c r="O202" s="27"/>
    </row>
    <row r="203" spans="1:15" ht="20.100000000000001" customHeight="1">
      <c r="A203" s="239">
        <v>1</v>
      </c>
      <c r="B203" s="241"/>
      <c r="C203" s="25"/>
      <c r="D203" s="25"/>
      <c r="E203" s="234">
        <f>C203+D203</f>
        <v>0</v>
      </c>
      <c r="F203" s="25"/>
      <c r="G203" s="25"/>
      <c r="H203" s="234">
        <f>F203+G203</f>
        <v>0</v>
      </c>
      <c r="I203" s="25"/>
      <c r="J203" s="25"/>
      <c r="K203" s="234">
        <f>I203+J203</f>
        <v>0</v>
      </c>
      <c r="L203" s="25"/>
      <c r="M203" s="25"/>
      <c r="N203" s="234">
        <f>L203+M203</f>
        <v>0</v>
      </c>
      <c r="O203" s="26">
        <f>M203+N203</f>
        <v>0</v>
      </c>
    </row>
    <row r="204" spans="1:15" ht="20.100000000000001" customHeight="1">
      <c r="A204" s="240">
        <v>2</v>
      </c>
      <c r="B204" s="242"/>
      <c r="C204" s="236"/>
      <c r="D204" s="236"/>
      <c r="E204" s="237">
        <f>C204+D204</f>
        <v>0</v>
      </c>
      <c r="F204" s="236"/>
      <c r="G204" s="236"/>
      <c r="H204" s="237">
        <f>F204+G204</f>
        <v>0</v>
      </c>
      <c r="I204" s="236"/>
      <c r="J204" s="236"/>
      <c r="K204" s="237">
        <f>I204+J204</f>
        <v>0</v>
      </c>
      <c r="L204" s="236"/>
      <c r="M204" s="236"/>
      <c r="N204" s="237">
        <f>L204+M204</f>
        <v>0</v>
      </c>
      <c r="O204" s="238">
        <f>M204+N204</f>
        <v>0</v>
      </c>
    </row>
    <row r="205" spans="1:15" ht="20.100000000000001" customHeight="1">
      <c r="A205" s="240">
        <v>3</v>
      </c>
      <c r="B205" s="242"/>
      <c r="C205" s="236"/>
      <c r="D205" s="236"/>
      <c r="E205" s="237">
        <f t="shared" ref="E205:E208" si="90">C205+D205</f>
        <v>0</v>
      </c>
      <c r="F205" s="236"/>
      <c r="G205" s="236"/>
      <c r="H205" s="237">
        <f t="shared" ref="H205:H208" si="91">F205+G205</f>
        <v>0</v>
      </c>
      <c r="I205" s="236"/>
      <c r="J205" s="236"/>
      <c r="K205" s="237">
        <f t="shared" ref="K205:K208" si="92">I205+J205</f>
        <v>0</v>
      </c>
      <c r="L205" s="236"/>
      <c r="M205" s="236"/>
      <c r="N205" s="237">
        <f t="shared" ref="N205:O208" si="93">L205+M205</f>
        <v>0</v>
      </c>
      <c r="O205" s="238">
        <f t="shared" si="93"/>
        <v>0</v>
      </c>
    </row>
    <row r="206" spans="1:15" ht="20.100000000000001" customHeight="1">
      <c r="A206" s="240">
        <v>4</v>
      </c>
      <c r="B206" s="242"/>
      <c r="C206" s="236"/>
      <c r="D206" s="236"/>
      <c r="E206" s="237">
        <f t="shared" si="90"/>
        <v>0</v>
      </c>
      <c r="F206" s="236"/>
      <c r="G206" s="236"/>
      <c r="H206" s="237">
        <f t="shared" si="91"/>
        <v>0</v>
      </c>
      <c r="I206" s="236"/>
      <c r="J206" s="236"/>
      <c r="K206" s="237">
        <f t="shared" si="92"/>
        <v>0</v>
      </c>
      <c r="L206" s="236"/>
      <c r="M206" s="236"/>
      <c r="N206" s="237">
        <f t="shared" si="93"/>
        <v>0</v>
      </c>
      <c r="O206" s="238">
        <f t="shared" si="93"/>
        <v>0</v>
      </c>
    </row>
    <row r="207" spans="1:15" ht="20.100000000000001" customHeight="1">
      <c r="A207" s="240">
        <v>5</v>
      </c>
      <c r="B207" s="242"/>
      <c r="C207" s="236"/>
      <c r="D207" s="236"/>
      <c r="E207" s="237">
        <f t="shared" si="90"/>
        <v>0</v>
      </c>
      <c r="F207" s="236"/>
      <c r="G207" s="236"/>
      <c r="H207" s="237">
        <f t="shared" si="91"/>
        <v>0</v>
      </c>
      <c r="I207" s="236"/>
      <c r="J207" s="236"/>
      <c r="K207" s="237">
        <f t="shared" si="92"/>
        <v>0</v>
      </c>
      <c r="L207" s="236"/>
      <c r="M207" s="236"/>
      <c r="N207" s="237">
        <f t="shared" si="93"/>
        <v>0</v>
      </c>
      <c r="O207" s="238">
        <f t="shared" si="93"/>
        <v>0</v>
      </c>
    </row>
    <row r="208" spans="1:15" ht="20.100000000000001" customHeight="1">
      <c r="A208" s="269">
        <v>6</v>
      </c>
      <c r="B208" s="243"/>
      <c r="C208" s="235"/>
      <c r="D208" s="235"/>
      <c r="E208" s="196">
        <f t="shared" si="90"/>
        <v>0</v>
      </c>
      <c r="F208" s="235"/>
      <c r="G208" s="235"/>
      <c r="H208" s="196">
        <f t="shared" si="91"/>
        <v>0</v>
      </c>
      <c r="I208" s="235"/>
      <c r="J208" s="235"/>
      <c r="K208" s="196">
        <f t="shared" si="92"/>
        <v>0</v>
      </c>
      <c r="L208" s="235"/>
      <c r="M208" s="235"/>
      <c r="N208" s="196">
        <f t="shared" si="93"/>
        <v>0</v>
      </c>
      <c r="O208" s="29">
        <f t="shared" si="93"/>
        <v>0</v>
      </c>
    </row>
    <row r="209" spans="1:15" ht="20.100000000000001" customHeight="1">
      <c r="A209" s="1512" t="s">
        <v>893</v>
      </c>
      <c r="B209" s="1513"/>
      <c r="C209" s="231">
        <f>SUM(C203:C207)</f>
        <v>0</v>
      </c>
      <c r="D209" s="232">
        <f>SUM(D203:D207)</f>
        <v>0</v>
      </c>
      <c r="E209" s="233">
        <f>C209+D209</f>
        <v>0</v>
      </c>
      <c r="F209" s="231">
        <f>SUM(F203:F207)</f>
        <v>0</v>
      </c>
      <c r="G209" s="232">
        <f>SUM(G203:G207)</f>
        <v>0</v>
      </c>
      <c r="H209" s="233">
        <f>F209+G209</f>
        <v>0</v>
      </c>
      <c r="I209" s="231">
        <f>SUM(I203:I207)</f>
        <v>0</v>
      </c>
      <c r="J209" s="232">
        <f>SUM(J203:J207)</f>
        <v>0</v>
      </c>
      <c r="K209" s="233">
        <f>I209+J209</f>
        <v>0</v>
      </c>
      <c r="L209" s="231">
        <f>SUM(L203:L207)</f>
        <v>0</v>
      </c>
      <c r="M209" s="232">
        <f>SUM(M203:M207)</f>
        <v>0</v>
      </c>
      <c r="N209" s="233">
        <f>L209+M209</f>
        <v>0</v>
      </c>
      <c r="O209" s="249">
        <f>E209+H209+K209+N209</f>
        <v>0</v>
      </c>
    </row>
    <row r="210" spans="1:15" ht="20.100000000000001" customHeight="1">
      <c r="A210" s="1476" t="s">
        <v>151</v>
      </c>
      <c r="B210" s="1478"/>
      <c r="C210" s="27"/>
      <c r="D210" s="27"/>
      <c r="E210" s="28"/>
      <c r="F210" s="27"/>
      <c r="G210" s="27"/>
      <c r="H210" s="28"/>
      <c r="I210" s="27"/>
      <c r="J210" s="27"/>
      <c r="K210" s="28"/>
      <c r="L210" s="27"/>
      <c r="M210" s="27"/>
      <c r="N210" s="28"/>
      <c r="O210" s="27"/>
    </row>
    <row r="211" spans="1:15" ht="20.100000000000001" customHeight="1">
      <c r="A211" s="239">
        <v>1</v>
      </c>
      <c r="B211" s="241"/>
      <c r="C211" s="25"/>
      <c r="D211" s="25"/>
      <c r="E211" s="234">
        <f>C211+D211</f>
        <v>0</v>
      </c>
      <c r="F211" s="25"/>
      <c r="G211" s="25"/>
      <c r="H211" s="234">
        <f>F211+G211</f>
        <v>0</v>
      </c>
      <c r="I211" s="25"/>
      <c r="J211" s="25"/>
      <c r="K211" s="234">
        <f>I211+J211</f>
        <v>0</v>
      </c>
      <c r="L211" s="25"/>
      <c r="M211" s="25"/>
      <c r="N211" s="234">
        <f>L211+M211</f>
        <v>0</v>
      </c>
      <c r="O211" s="26">
        <f>M211+N211</f>
        <v>0</v>
      </c>
    </row>
    <row r="212" spans="1:15" ht="20.100000000000001" customHeight="1">
      <c r="A212" s="240">
        <v>2</v>
      </c>
      <c r="B212" s="242"/>
      <c r="C212" s="236"/>
      <c r="D212" s="236"/>
      <c r="E212" s="237">
        <f>C212+D212</f>
        <v>0</v>
      </c>
      <c r="F212" s="236"/>
      <c r="G212" s="236"/>
      <c r="H212" s="237">
        <f>F212+G212</f>
        <v>0</v>
      </c>
      <c r="I212" s="236"/>
      <c r="J212" s="236"/>
      <c r="K212" s="237">
        <f>I212+J212</f>
        <v>0</v>
      </c>
      <c r="L212" s="236"/>
      <c r="M212" s="236"/>
      <c r="N212" s="237">
        <f>L212+M212</f>
        <v>0</v>
      </c>
      <c r="O212" s="238">
        <f>M212+N212</f>
        <v>0</v>
      </c>
    </row>
    <row r="213" spans="1:15" ht="20.100000000000001" customHeight="1">
      <c r="A213" s="240">
        <v>3</v>
      </c>
      <c r="B213" s="242"/>
      <c r="C213" s="236"/>
      <c r="D213" s="236"/>
      <c r="E213" s="237">
        <f t="shared" ref="E213:E216" si="94">C213+D213</f>
        <v>0</v>
      </c>
      <c r="F213" s="236"/>
      <c r="G213" s="236"/>
      <c r="H213" s="237">
        <f t="shared" ref="H213:H216" si="95">F213+G213</f>
        <v>0</v>
      </c>
      <c r="I213" s="236"/>
      <c r="J213" s="236"/>
      <c r="K213" s="237">
        <f t="shared" ref="K213:K216" si="96">I213+J213</f>
        <v>0</v>
      </c>
      <c r="L213" s="236"/>
      <c r="M213" s="236"/>
      <c r="N213" s="237">
        <f t="shared" ref="N213:O216" si="97">L213+M213</f>
        <v>0</v>
      </c>
      <c r="O213" s="238">
        <f t="shared" si="97"/>
        <v>0</v>
      </c>
    </row>
    <row r="214" spans="1:15" ht="20.100000000000001" customHeight="1">
      <c r="A214" s="240">
        <v>4</v>
      </c>
      <c r="B214" s="242"/>
      <c r="C214" s="236"/>
      <c r="D214" s="236"/>
      <c r="E214" s="237">
        <f t="shared" si="94"/>
        <v>0</v>
      </c>
      <c r="F214" s="236"/>
      <c r="G214" s="236"/>
      <c r="H214" s="237">
        <f t="shared" si="95"/>
        <v>0</v>
      </c>
      <c r="I214" s="236"/>
      <c r="J214" s="236"/>
      <c r="K214" s="237">
        <f t="shared" si="96"/>
        <v>0</v>
      </c>
      <c r="L214" s="236"/>
      <c r="M214" s="236"/>
      <c r="N214" s="237">
        <f t="shared" si="97"/>
        <v>0</v>
      </c>
      <c r="O214" s="238">
        <f t="shared" si="97"/>
        <v>0</v>
      </c>
    </row>
    <row r="215" spans="1:15" ht="20.100000000000001" customHeight="1">
      <c r="A215" s="240">
        <v>5</v>
      </c>
      <c r="B215" s="242"/>
      <c r="C215" s="236"/>
      <c r="D215" s="236"/>
      <c r="E215" s="237">
        <f t="shared" si="94"/>
        <v>0</v>
      </c>
      <c r="F215" s="236"/>
      <c r="G215" s="236"/>
      <c r="H215" s="237">
        <f t="shared" si="95"/>
        <v>0</v>
      </c>
      <c r="I215" s="236"/>
      <c r="J215" s="236"/>
      <c r="K215" s="237">
        <f t="shared" si="96"/>
        <v>0</v>
      </c>
      <c r="L215" s="236"/>
      <c r="M215" s="236"/>
      <c r="N215" s="237">
        <f t="shared" si="97"/>
        <v>0</v>
      </c>
      <c r="O215" s="238">
        <f t="shared" si="97"/>
        <v>0</v>
      </c>
    </row>
    <row r="216" spans="1:15" ht="20.100000000000001" customHeight="1">
      <c r="A216" s="269">
        <v>6</v>
      </c>
      <c r="B216" s="243"/>
      <c r="C216" s="235"/>
      <c r="D216" s="235"/>
      <c r="E216" s="196">
        <f t="shared" si="94"/>
        <v>0</v>
      </c>
      <c r="F216" s="235"/>
      <c r="G216" s="235"/>
      <c r="H216" s="196">
        <f t="shared" si="95"/>
        <v>0</v>
      </c>
      <c r="I216" s="235"/>
      <c r="J216" s="235"/>
      <c r="K216" s="196">
        <f t="shared" si="96"/>
        <v>0</v>
      </c>
      <c r="L216" s="235"/>
      <c r="M216" s="235"/>
      <c r="N216" s="196">
        <f t="shared" si="97"/>
        <v>0</v>
      </c>
      <c r="O216" s="29">
        <f t="shared" si="97"/>
        <v>0</v>
      </c>
    </row>
    <row r="217" spans="1:15" ht="20.100000000000001" customHeight="1">
      <c r="A217" s="1514" t="s">
        <v>893</v>
      </c>
      <c r="B217" s="1515"/>
      <c r="C217" s="231">
        <f>SUM(C211:C215)</f>
        <v>0</v>
      </c>
      <c r="D217" s="232">
        <f>SUM(D211:D215)</f>
        <v>0</v>
      </c>
      <c r="E217" s="233">
        <f>C217+D217</f>
        <v>0</v>
      </c>
      <c r="F217" s="231">
        <f>SUM(F211:F215)</f>
        <v>0</v>
      </c>
      <c r="G217" s="232">
        <f>SUM(G211:G215)</f>
        <v>0</v>
      </c>
      <c r="H217" s="233">
        <f>F217+G217</f>
        <v>0</v>
      </c>
      <c r="I217" s="231">
        <f>SUM(I211:I215)</f>
        <v>0</v>
      </c>
      <c r="J217" s="232">
        <f>SUM(J211:J215)</f>
        <v>0</v>
      </c>
      <c r="K217" s="233">
        <f>I217+J217</f>
        <v>0</v>
      </c>
      <c r="L217" s="231">
        <f>SUM(L211:L215)</f>
        <v>0</v>
      </c>
      <c r="M217" s="232">
        <f>SUM(M211:M215)</f>
        <v>0</v>
      </c>
      <c r="N217" s="233">
        <f>L217+M217</f>
        <v>0</v>
      </c>
      <c r="O217" s="251">
        <f>E217+H217+K217+N217</f>
        <v>0</v>
      </c>
    </row>
    <row r="218" spans="1:15" ht="20.100000000000001" customHeight="1">
      <c r="A218" s="1516" t="s">
        <v>981</v>
      </c>
      <c r="B218" s="1516"/>
      <c r="C218" s="344">
        <f>C126+C142+C151+C159+C174+C193+C201+C209+C217+C182</f>
        <v>819</v>
      </c>
      <c r="D218" s="344">
        <f t="shared" ref="D218" si="98">D126+D142+D151+D159+D174+D193+D201+D209+D217+D182</f>
        <v>528</v>
      </c>
      <c r="E218" s="344">
        <f>E126+E141+E151+E159+E174+E193+E201+E209+E217+E182</f>
        <v>949</v>
      </c>
      <c r="F218" s="344">
        <f t="shared" ref="F218:G218" si="99">F126+F142+F151+F159+F174+F193+F201+F209+F217+F182</f>
        <v>335</v>
      </c>
      <c r="G218" s="344">
        <f t="shared" si="99"/>
        <v>249</v>
      </c>
      <c r="H218" s="344">
        <f>H126+H141+H151+H159+H174+H193+H201+H209+H217+H182</f>
        <v>492</v>
      </c>
      <c r="I218" s="344">
        <f t="shared" ref="I218:J218" si="100">I126+I142+I151+I159+I174+I193+I201+I209+I217+I182</f>
        <v>20</v>
      </c>
      <c r="J218" s="344">
        <f t="shared" si="100"/>
        <v>20</v>
      </c>
      <c r="K218" s="344">
        <f>K126+K141+K151+K159+K174+K193+K201+K209+K217+K182</f>
        <v>0</v>
      </c>
      <c r="L218" s="344">
        <f t="shared" ref="L218:M218" si="101">L126+L142+L151+L159+L174+L193+L201+L209+L217+L182</f>
        <v>0</v>
      </c>
      <c r="M218" s="344">
        <f t="shared" si="101"/>
        <v>0</v>
      </c>
      <c r="N218" s="344">
        <f>N126+N141+N151+N159+N174+N193+N201+N209+N217+N182</f>
        <v>0</v>
      </c>
      <c r="O218" s="344">
        <f>O126+O141+O151+O159+O174+O193+O201+O209+O217+O182</f>
        <v>1441</v>
      </c>
    </row>
    <row r="219" spans="1:15" ht="21" customHeight="1">
      <c r="A219" s="1532" t="s">
        <v>982</v>
      </c>
      <c r="B219" s="1532"/>
      <c r="C219" s="343">
        <f t="shared" ref="C219:O219" si="102">C218+C111</f>
        <v>4552.3999999999996</v>
      </c>
      <c r="D219" s="343">
        <f t="shared" si="102"/>
        <v>3082.2000000000003</v>
      </c>
      <c r="E219" s="343">
        <f t="shared" si="102"/>
        <v>7236.6</v>
      </c>
      <c r="F219" s="343">
        <f t="shared" si="102"/>
        <v>2687.9</v>
      </c>
      <c r="G219" s="343">
        <f t="shared" si="102"/>
        <v>1812.1000000000001</v>
      </c>
      <c r="H219" s="343">
        <f t="shared" si="102"/>
        <v>4408</v>
      </c>
      <c r="I219" s="343">
        <f t="shared" si="102"/>
        <v>1231.5</v>
      </c>
      <c r="J219" s="343">
        <f t="shared" si="102"/>
        <v>687.4</v>
      </c>
      <c r="K219" s="343">
        <f t="shared" si="102"/>
        <v>1878.9</v>
      </c>
      <c r="L219" s="343">
        <f t="shared" si="102"/>
        <v>688.9</v>
      </c>
      <c r="M219" s="343">
        <f t="shared" si="102"/>
        <v>275.90000000000003</v>
      </c>
      <c r="N219" s="343">
        <f t="shared" si="102"/>
        <v>964.80000000000007</v>
      </c>
      <c r="O219" s="343">
        <f t="shared" si="102"/>
        <v>14488.3</v>
      </c>
    </row>
  </sheetData>
  <mergeCells count="86">
    <mergeCell ref="N1:O1"/>
    <mergeCell ref="A2:O2"/>
    <mergeCell ref="B3:H3"/>
    <mergeCell ref="C4:O4"/>
    <mergeCell ref="A6:B8"/>
    <mergeCell ref="C6:O6"/>
    <mergeCell ref="C7:E7"/>
    <mergeCell ref="F7:H7"/>
    <mergeCell ref="I7:K7"/>
    <mergeCell ref="L7:N7"/>
    <mergeCell ref="A43:O43"/>
    <mergeCell ref="O7:O8"/>
    <mergeCell ref="A9:B9"/>
    <mergeCell ref="C9:E9"/>
    <mergeCell ref="F9:H9"/>
    <mergeCell ref="I9:K9"/>
    <mergeCell ref="L9:N9"/>
    <mergeCell ref="A16:B16"/>
    <mergeCell ref="A17:B17"/>
    <mergeCell ref="A33:B33"/>
    <mergeCell ref="A34:O34"/>
    <mergeCell ref="A42:B42"/>
    <mergeCell ref="A50:B50"/>
    <mergeCell ref="A51:B51"/>
    <mergeCell ref="A66:B66"/>
    <mergeCell ref="A67:O67"/>
    <mergeCell ref="A74:B74"/>
    <mergeCell ref="O77:O78"/>
    <mergeCell ref="A79:B79"/>
    <mergeCell ref="A86:B86"/>
    <mergeCell ref="A87:B87"/>
    <mergeCell ref="A111:B111"/>
    <mergeCell ref="A95:B95"/>
    <mergeCell ref="A102:B102"/>
    <mergeCell ref="A103:B103"/>
    <mergeCell ref="A110:B110"/>
    <mergeCell ref="A94:B94"/>
    <mergeCell ref="A76:B78"/>
    <mergeCell ref="C76:O76"/>
    <mergeCell ref="C77:E77"/>
    <mergeCell ref="F77:H77"/>
    <mergeCell ref="I77:K77"/>
    <mergeCell ref="L77:N77"/>
    <mergeCell ref="C116:O116"/>
    <mergeCell ref="C117:E117"/>
    <mergeCell ref="F117:H117"/>
    <mergeCell ref="I117:K117"/>
    <mergeCell ref="L117:N117"/>
    <mergeCell ref="O117:O118"/>
    <mergeCell ref="A112:O112"/>
    <mergeCell ref="A159:B159"/>
    <mergeCell ref="A119:B119"/>
    <mergeCell ref="C119:E119"/>
    <mergeCell ref="F119:H119"/>
    <mergeCell ref="I119:K119"/>
    <mergeCell ref="A127:B127"/>
    <mergeCell ref="A142:B142"/>
    <mergeCell ref="A143:O143"/>
    <mergeCell ref="A151:B151"/>
    <mergeCell ref="A152:O152"/>
    <mergeCell ref="L119:N119"/>
    <mergeCell ref="A126:B126"/>
    <mergeCell ref="B113:H113"/>
    <mergeCell ref="C114:O114"/>
    <mergeCell ref="A116:B118"/>
    <mergeCell ref="A202:B202"/>
    <mergeCell ref="A160:B160"/>
    <mergeCell ref="A174:B174"/>
    <mergeCell ref="A175:O175"/>
    <mergeCell ref="A182:B182"/>
    <mergeCell ref="A183:B185"/>
    <mergeCell ref="C183:O183"/>
    <mergeCell ref="C184:E184"/>
    <mergeCell ref="F184:H184"/>
    <mergeCell ref="I184:K184"/>
    <mergeCell ref="L184:N184"/>
    <mergeCell ref="O184:O185"/>
    <mergeCell ref="A186:B186"/>
    <mergeCell ref="A193:B193"/>
    <mergeCell ref="A194:B194"/>
    <mergeCell ref="A201:B201"/>
    <mergeCell ref="A209:B209"/>
    <mergeCell ref="A210:B210"/>
    <mergeCell ref="A217:B217"/>
    <mergeCell ref="A218:B218"/>
    <mergeCell ref="A219:B219"/>
  </mergeCells>
  <printOptions horizontalCentered="1"/>
  <pageMargins left="0.25" right="0.25" top="0.5" bottom="0.5" header="0.5" footer="0.5"/>
  <pageSetup paperSize="9" scale="85" fitToWidth="0" fitToHeight="0" orientation="portrait" r:id="rId1"/>
  <headerFooter alignWithMargins="0"/>
  <rowBreaks count="2" manualBreakCount="2">
    <brk id="111" max="14" man="1"/>
    <brk id="182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5"/>
  <sheetViews>
    <sheetView view="pageBreakPreview" topLeftCell="A146" zoomScaleNormal="69" zoomScaleSheetLayoutView="100" workbookViewId="0">
      <selection activeCell="O214" sqref="O214"/>
    </sheetView>
  </sheetViews>
  <sheetFormatPr defaultRowHeight="14.25"/>
  <cols>
    <col min="1" max="1" width="3.7109375" style="227" customWidth="1"/>
    <col min="2" max="2" width="22.7109375" style="186" customWidth="1"/>
    <col min="3" max="3" width="13" style="1" bestFit="1" customWidth="1"/>
    <col min="4" max="4" width="7.5703125" style="1" customWidth="1"/>
    <col min="5" max="5" width="8.7109375" style="1" bestFit="1" customWidth="1"/>
    <col min="6" max="6" width="13" style="1" bestFit="1" customWidth="1"/>
    <col min="7" max="7" width="7.5703125" style="1" customWidth="1"/>
    <col min="8" max="8" width="8.7109375" style="1" bestFit="1" customWidth="1"/>
    <col min="9" max="9" width="13" style="1" bestFit="1" customWidth="1"/>
    <col min="10" max="10" width="7.5703125" style="1" customWidth="1"/>
    <col min="11" max="11" width="8.7109375" style="1" bestFit="1" customWidth="1"/>
    <col min="12" max="14" width="7.5703125" style="1" customWidth="1"/>
    <col min="15" max="15" width="8.7109375" style="1" bestFit="1" customWidth="1"/>
    <col min="16" max="17" width="7.5703125" style="1" customWidth="1"/>
    <col min="18" max="18" width="21.5703125" style="10" customWidth="1"/>
    <col min="19" max="19" width="30.5703125" style="762" customWidth="1"/>
    <col min="20" max="20" width="7.5703125" style="10" bestFit="1" customWidth="1"/>
    <col min="21" max="25" width="14.28515625" style="10" customWidth="1"/>
    <col min="26" max="240" width="9.140625" style="10"/>
    <col min="241" max="241" width="38.5703125" style="10" customWidth="1"/>
    <col min="242" max="242" width="6.5703125" style="10" customWidth="1"/>
    <col min="243" max="243" width="7.7109375" style="10" bestFit="1" customWidth="1"/>
    <col min="244" max="244" width="7.28515625" style="10" customWidth="1"/>
    <col min="245" max="245" width="6.5703125" style="10" bestFit="1" customWidth="1"/>
    <col min="246" max="246" width="7.28515625" style="10" bestFit="1" customWidth="1"/>
    <col min="247" max="247" width="8.140625" style="10" customWidth="1"/>
    <col min="248" max="248" width="7.140625" style="10" customWidth="1"/>
    <col min="249" max="249" width="7.7109375" style="10" bestFit="1" customWidth="1"/>
    <col min="250" max="250" width="7.28515625" style="10" customWidth="1"/>
    <col min="251" max="251" width="7" style="10" customWidth="1"/>
    <col min="252" max="252" width="7.5703125" style="10" customWidth="1"/>
    <col min="253" max="253" width="7.140625" style="10" customWidth="1"/>
    <col min="254" max="254" width="7" style="10" customWidth="1"/>
    <col min="255" max="255" width="7.5703125" style="10" customWidth="1"/>
    <col min="256" max="256" width="7.140625" style="10" customWidth="1"/>
    <col min="257" max="273" width="8.7109375" style="10" customWidth="1"/>
    <col min="274" max="274" width="36.85546875" style="10" customWidth="1"/>
    <col min="275" max="281" width="14.28515625" style="10" customWidth="1"/>
    <col min="282" max="496" width="9.140625" style="10"/>
    <col min="497" max="497" width="38.5703125" style="10" customWidth="1"/>
    <col min="498" max="498" width="6.5703125" style="10" customWidth="1"/>
    <col min="499" max="499" width="7.7109375" style="10" bestFit="1" customWidth="1"/>
    <col min="500" max="500" width="7.28515625" style="10" customWidth="1"/>
    <col min="501" max="501" width="6.5703125" style="10" bestFit="1" customWidth="1"/>
    <col min="502" max="502" width="7.28515625" style="10" bestFit="1" customWidth="1"/>
    <col min="503" max="503" width="8.140625" style="10" customWidth="1"/>
    <col min="504" max="504" width="7.140625" style="10" customWidth="1"/>
    <col min="505" max="505" width="7.7109375" style="10" bestFit="1" customWidth="1"/>
    <col min="506" max="506" width="7.28515625" style="10" customWidth="1"/>
    <col min="507" max="507" width="7" style="10" customWidth="1"/>
    <col min="508" max="508" width="7.5703125" style="10" customWidth="1"/>
    <col min="509" max="509" width="7.140625" style="10" customWidth="1"/>
    <col min="510" max="510" width="7" style="10" customWidth="1"/>
    <col min="511" max="511" width="7.5703125" style="10" customWidth="1"/>
    <col min="512" max="512" width="7.140625" style="10" customWidth="1"/>
    <col min="513" max="529" width="8.7109375" style="10" customWidth="1"/>
    <col min="530" max="530" width="36.85546875" style="10" customWidth="1"/>
    <col min="531" max="537" width="14.28515625" style="10" customWidth="1"/>
    <col min="538" max="752" width="9.140625" style="10"/>
    <col min="753" max="753" width="38.5703125" style="10" customWidth="1"/>
    <col min="754" max="754" width="6.5703125" style="10" customWidth="1"/>
    <col min="755" max="755" width="7.7109375" style="10" bestFit="1" customWidth="1"/>
    <col min="756" max="756" width="7.28515625" style="10" customWidth="1"/>
    <col min="757" max="757" width="6.5703125" style="10" bestFit="1" customWidth="1"/>
    <col min="758" max="758" width="7.28515625" style="10" bestFit="1" customWidth="1"/>
    <col min="759" max="759" width="8.140625" style="10" customWidth="1"/>
    <col min="760" max="760" width="7.140625" style="10" customWidth="1"/>
    <col min="761" max="761" width="7.7109375" style="10" bestFit="1" customWidth="1"/>
    <col min="762" max="762" width="7.28515625" style="10" customWidth="1"/>
    <col min="763" max="763" width="7" style="10" customWidth="1"/>
    <col min="764" max="764" width="7.5703125" style="10" customWidth="1"/>
    <col min="765" max="765" width="7.140625" style="10" customWidth="1"/>
    <col min="766" max="766" width="7" style="10" customWidth="1"/>
    <col min="767" max="767" width="7.5703125" style="10" customWidth="1"/>
    <col min="768" max="768" width="7.140625" style="10" customWidth="1"/>
    <col min="769" max="785" width="8.7109375" style="10" customWidth="1"/>
    <col min="786" max="786" width="36.85546875" style="10" customWidth="1"/>
    <col min="787" max="793" width="14.28515625" style="10" customWidth="1"/>
    <col min="794" max="1008" width="9.140625" style="10"/>
    <col min="1009" max="1009" width="38.5703125" style="10" customWidth="1"/>
    <col min="1010" max="1010" width="6.5703125" style="10" customWidth="1"/>
    <col min="1011" max="1011" width="7.7109375" style="10" bestFit="1" customWidth="1"/>
    <col min="1012" max="1012" width="7.28515625" style="10" customWidth="1"/>
    <col min="1013" max="1013" width="6.5703125" style="10" bestFit="1" customWidth="1"/>
    <col min="1014" max="1014" width="7.28515625" style="10" bestFit="1" customWidth="1"/>
    <col min="1015" max="1015" width="8.140625" style="10" customWidth="1"/>
    <col min="1016" max="1016" width="7.140625" style="10" customWidth="1"/>
    <col min="1017" max="1017" width="7.7109375" style="10" bestFit="1" customWidth="1"/>
    <col min="1018" max="1018" width="7.28515625" style="10" customWidth="1"/>
    <col min="1019" max="1019" width="7" style="10" customWidth="1"/>
    <col min="1020" max="1020" width="7.5703125" style="10" customWidth="1"/>
    <col min="1021" max="1021" width="7.140625" style="10" customWidth="1"/>
    <col min="1022" max="1022" width="7" style="10" customWidth="1"/>
    <col min="1023" max="1023" width="7.5703125" style="10" customWidth="1"/>
    <col min="1024" max="1024" width="7.140625" style="10" customWidth="1"/>
    <col min="1025" max="1041" width="8.7109375" style="10" customWidth="1"/>
    <col min="1042" max="1042" width="36.85546875" style="10" customWidth="1"/>
    <col min="1043" max="1049" width="14.28515625" style="10" customWidth="1"/>
    <col min="1050" max="1264" width="9.140625" style="10"/>
    <col min="1265" max="1265" width="38.5703125" style="10" customWidth="1"/>
    <col min="1266" max="1266" width="6.5703125" style="10" customWidth="1"/>
    <col min="1267" max="1267" width="7.7109375" style="10" bestFit="1" customWidth="1"/>
    <col min="1268" max="1268" width="7.28515625" style="10" customWidth="1"/>
    <col min="1269" max="1269" width="6.5703125" style="10" bestFit="1" customWidth="1"/>
    <col min="1270" max="1270" width="7.28515625" style="10" bestFit="1" customWidth="1"/>
    <col min="1271" max="1271" width="8.140625" style="10" customWidth="1"/>
    <col min="1272" max="1272" width="7.140625" style="10" customWidth="1"/>
    <col min="1273" max="1273" width="7.7109375" style="10" bestFit="1" customWidth="1"/>
    <col min="1274" max="1274" width="7.28515625" style="10" customWidth="1"/>
    <col min="1275" max="1275" width="7" style="10" customWidth="1"/>
    <col min="1276" max="1276" width="7.5703125" style="10" customWidth="1"/>
    <col min="1277" max="1277" width="7.140625" style="10" customWidth="1"/>
    <col min="1278" max="1278" width="7" style="10" customWidth="1"/>
    <col min="1279" max="1279" width="7.5703125" style="10" customWidth="1"/>
    <col min="1280" max="1280" width="7.140625" style="10" customWidth="1"/>
    <col min="1281" max="1297" width="8.7109375" style="10" customWidth="1"/>
    <col min="1298" max="1298" width="36.85546875" style="10" customWidth="1"/>
    <col min="1299" max="1305" width="14.28515625" style="10" customWidth="1"/>
    <col min="1306" max="1520" width="9.140625" style="10"/>
    <col min="1521" max="1521" width="38.5703125" style="10" customWidth="1"/>
    <col min="1522" max="1522" width="6.5703125" style="10" customWidth="1"/>
    <col min="1523" max="1523" width="7.7109375" style="10" bestFit="1" customWidth="1"/>
    <col min="1524" max="1524" width="7.28515625" style="10" customWidth="1"/>
    <col min="1525" max="1525" width="6.5703125" style="10" bestFit="1" customWidth="1"/>
    <col min="1526" max="1526" width="7.28515625" style="10" bestFit="1" customWidth="1"/>
    <col min="1527" max="1527" width="8.140625" style="10" customWidth="1"/>
    <col min="1528" max="1528" width="7.140625" style="10" customWidth="1"/>
    <col min="1529" max="1529" width="7.7109375" style="10" bestFit="1" customWidth="1"/>
    <col min="1530" max="1530" width="7.28515625" style="10" customWidth="1"/>
    <col min="1531" max="1531" width="7" style="10" customWidth="1"/>
    <col min="1532" max="1532" width="7.5703125" style="10" customWidth="1"/>
    <col min="1533" max="1533" width="7.140625" style="10" customWidth="1"/>
    <col min="1534" max="1534" width="7" style="10" customWidth="1"/>
    <col min="1535" max="1535" width="7.5703125" style="10" customWidth="1"/>
    <col min="1536" max="1536" width="7.140625" style="10" customWidth="1"/>
    <col min="1537" max="1553" width="8.7109375" style="10" customWidth="1"/>
    <col min="1554" max="1554" width="36.85546875" style="10" customWidth="1"/>
    <col min="1555" max="1561" width="14.28515625" style="10" customWidth="1"/>
    <col min="1562" max="1776" width="9.140625" style="10"/>
    <col min="1777" max="1777" width="38.5703125" style="10" customWidth="1"/>
    <col min="1778" max="1778" width="6.5703125" style="10" customWidth="1"/>
    <col min="1779" max="1779" width="7.7109375" style="10" bestFit="1" customWidth="1"/>
    <col min="1780" max="1780" width="7.28515625" style="10" customWidth="1"/>
    <col min="1781" max="1781" width="6.5703125" style="10" bestFit="1" customWidth="1"/>
    <col min="1782" max="1782" width="7.28515625" style="10" bestFit="1" customWidth="1"/>
    <col min="1783" max="1783" width="8.140625" style="10" customWidth="1"/>
    <col min="1784" max="1784" width="7.140625" style="10" customWidth="1"/>
    <col min="1785" max="1785" width="7.7109375" style="10" bestFit="1" customWidth="1"/>
    <col min="1786" max="1786" width="7.28515625" style="10" customWidth="1"/>
    <col min="1787" max="1787" width="7" style="10" customWidth="1"/>
    <col min="1788" max="1788" width="7.5703125" style="10" customWidth="1"/>
    <col min="1789" max="1789" width="7.140625" style="10" customWidth="1"/>
    <col min="1790" max="1790" width="7" style="10" customWidth="1"/>
    <col min="1791" max="1791" width="7.5703125" style="10" customWidth="1"/>
    <col min="1792" max="1792" width="7.140625" style="10" customWidth="1"/>
    <col min="1793" max="1809" width="8.7109375" style="10" customWidth="1"/>
    <col min="1810" max="1810" width="36.85546875" style="10" customWidth="1"/>
    <col min="1811" max="1817" width="14.28515625" style="10" customWidth="1"/>
    <col min="1818" max="2032" width="9.140625" style="10"/>
    <col min="2033" max="2033" width="38.5703125" style="10" customWidth="1"/>
    <col min="2034" max="2034" width="6.5703125" style="10" customWidth="1"/>
    <col min="2035" max="2035" width="7.7109375" style="10" bestFit="1" customWidth="1"/>
    <col min="2036" max="2036" width="7.28515625" style="10" customWidth="1"/>
    <col min="2037" max="2037" width="6.5703125" style="10" bestFit="1" customWidth="1"/>
    <col min="2038" max="2038" width="7.28515625" style="10" bestFit="1" customWidth="1"/>
    <col min="2039" max="2039" width="8.140625" style="10" customWidth="1"/>
    <col min="2040" max="2040" width="7.140625" style="10" customWidth="1"/>
    <col min="2041" max="2041" width="7.7109375" style="10" bestFit="1" customWidth="1"/>
    <col min="2042" max="2042" width="7.28515625" style="10" customWidth="1"/>
    <col min="2043" max="2043" width="7" style="10" customWidth="1"/>
    <col min="2044" max="2044" width="7.5703125" style="10" customWidth="1"/>
    <col min="2045" max="2045" width="7.140625" style="10" customWidth="1"/>
    <col min="2046" max="2046" width="7" style="10" customWidth="1"/>
    <col min="2047" max="2047" width="7.5703125" style="10" customWidth="1"/>
    <col min="2048" max="2048" width="7.140625" style="10" customWidth="1"/>
    <col min="2049" max="2065" width="8.7109375" style="10" customWidth="1"/>
    <col min="2066" max="2066" width="36.85546875" style="10" customWidth="1"/>
    <col min="2067" max="2073" width="14.28515625" style="10" customWidth="1"/>
    <col min="2074" max="2288" width="9.140625" style="10"/>
    <col min="2289" max="2289" width="38.5703125" style="10" customWidth="1"/>
    <col min="2290" max="2290" width="6.5703125" style="10" customWidth="1"/>
    <col min="2291" max="2291" width="7.7109375" style="10" bestFit="1" customWidth="1"/>
    <col min="2292" max="2292" width="7.28515625" style="10" customWidth="1"/>
    <col min="2293" max="2293" width="6.5703125" style="10" bestFit="1" customWidth="1"/>
    <col min="2294" max="2294" width="7.28515625" style="10" bestFit="1" customWidth="1"/>
    <col min="2295" max="2295" width="8.140625" style="10" customWidth="1"/>
    <col min="2296" max="2296" width="7.140625" style="10" customWidth="1"/>
    <col min="2297" max="2297" width="7.7109375" style="10" bestFit="1" customWidth="1"/>
    <col min="2298" max="2298" width="7.28515625" style="10" customWidth="1"/>
    <col min="2299" max="2299" width="7" style="10" customWidth="1"/>
    <col min="2300" max="2300" width="7.5703125" style="10" customWidth="1"/>
    <col min="2301" max="2301" width="7.140625" style="10" customWidth="1"/>
    <col min="2302" max="2302" width="7" style="10" customWidth="1"/>
    <col min="2303" max="2303" width="7.5703125" style="10" customWidth="1"/>
    <col min="2304" max="2304" width="7.140625" style="10" customWidth="1"/>
    <col min="2305" max="2321" width="8.7109375" style="10" customWidth="1"/>
    <col min="2322" max="2322" width="36.85546875" style="10" customWidth="1"/>
    <col min="2323" max="2329" width="14.28515625" style="10" customWidth="1"/>
    <col min="2330" max="2544" width="9.140625" style="10"/>
    <col min="2545" max="2545" width="38.5703125" style="10" customWidth="1"/>
    <col min="2546" max="2546" width="6.5703125" style="10" customWidth="1"/>
    <col min="2547" max="2547" width="7.7109375" style="10" bestFit="1" customWidth="1"/>
    <col min="2548" max="2548" width="7.28515625" style="10" customWidth="1"/>
    <col min="2549" max="2549" width="6.5703125" style="10" bestFit="1" customWidth="1"/>
    <col min="2550" max="2550" width="7.28515625" style="10" bestFit="1" customWidth="1"/>
    <col min="2551" max="2551" width="8.140625" style="10" customWidth="1"/>
    <col min="2552" max="2552" width="7.140625" style="10" customWidth="1"/>
    <col min="2553" max="2553" width="7.7109375" style="10" bestFit="1" customWidth="1"/>
    <col min="2554" max="2554" width="7.28515625" style="10" customWidth="1"/>
    <col min="2555" max="2555" width="7" style="10" customWidth="1"/>
    <col min="2556" max="2556" width="7.5703125" style="10" customWidth="1"/>
    <col min="2557" max="2557" width="7.140625" style="10" customWidth="1"/>
    <col min="2558" max="2558" width="7" style="10" customWidth="1"/>
    <col min="2559" max="2559" width="7.5703125" style="10" customWidth="1"/>
    <col min="2560" max="2560" width="7.140625" style="10" customWidth="1"/>
    <col min="2561" max="2577" width="8.7109375" style="10" customWidth="1"/>
    <col min="2578" max="2578" width="36.85546875" style="10" customWidth="1"/>
    <col min="2579" max="2585" width="14.28515625" style="10" customWidth="1"/>
    <col min="2586" max="2800" width="9.140625" style="10"/>
    <col min="2801" max="2801" width="38.5703125" style="10" customWidth="1"/>
    <col min="2802" max="2802" width="6.5703125" style="10" customWidth="1"/>
    <col min="2803" max="2803" width="7.7109375" style="10" bestFit="1" customWidth="1"/>
    <col min="2804" max="2804" width="7.28515625" style="10" customWidth="1"/>
    <col min="2805" max="2805" width="6.5703125" style="10" bestFit="1" customWidth="1"/>
    <col min="2806" max="2806" width="7.28515625" style="10" bestFit="1" customWidth="1"/>
    <col min="2807" max="2807" width="8.140625" style="10" customWidth="1"/>
    <col min="2808" max="2808" width="7.140625" style="10" customWidth="1"/>
    <col min="2809" max="2809" width="7.7109375" style="10" bestFit="1" customWidth="1"/>
    <col min="2810" max="2810" width="7.28515625" style="10" customWidth="1"/>
    <col min="2811" max="2811" width="7" style="10" customWidth="1"/>
    <col min="2812" max="2812" width="7.5703125" style="10" customWidth="1"/>
    <col min="2813" max="2813" width="7.140625" style="10" customWidth="1"/>
    <col min="2814" max="2814" width="7" style="10" customWidth="1"/>
    <col min="2815" max="2815" width="7.5703125" style="10" customWidth="1"/>
    <col min="2816" max="2816" width="7.140625" style="10" customWidth="1"/>
    <col min="2817" max="2833" width="8.7109375" style="10" customWidth="1"/>
    <col min="2834" max="2834" width="36.85546875" style="10" customWidth="1"/>
    <col min="2835" max="2841" width="14.28515625" style="10" customWidth="1"/>
    <col min="2842" max="3056" width="9.140625" style="10"/>
    <col min="3057" max="3057" width="38.5703125" style="10" customWidth="1"/>
    <col min="3058" max="3058" width="6.5703125" style="10" customWidth="1"/>
    <col min="3059" max="3059" width="7.7109375" style="10" bestFit="1" customWidth="1"/>
    <col min="3060" max="3060" width="7.28515625" style="10" customWidth="1"/>
    <col min="3061" max="3061" width="6.5703125" style="10" bestFit="1" customWidth="1"/>
    <col min="3062" max="3062" width="7.28515625" style="10" bestFit="1" customWidth="1"/>
    <col min="3063" max="3063" width="8.140625" style="10" customWidth="1"/>
    <col min="3064" max="3064" width="7.140625" style="10" customWidth="1"/>
    <col min="3065" max="3065" width="7.7109375" style="10" bestFit="1" customWidth="1"/>
    <col min="3066" max="3066" width="7.28515625" style="10" customWidth="1"/>
    <col min="3067" max="3067" width="7" style="10" customWidth="1"/>
    <col min="3068" max="3068" width="7.5703125" style="10" customWidth="1"/>
    <col min="3069" max="3069" width="7.140625" style="10" customWidth="1"/>
    <col min="3070" max="3070" width="7" style="10" customWidth="1"/>
    <col min="3071" max="3071" width="7.5703125" style="10" customWidth="1"/>
    <col min="3072" max="3072" width="7.140625" style="10" customWidth="1"/>
    <col min="3073" max="3089" width="8.7109375" style="10" customWidth="1"/>
    <col min="3090" max="3090" width="36.85546875" style="10" customWidth="1"/>
    <col min="3091" max="3097" width="14.28515625" style="10" customWidth="1"/>
    <col min="3098" max="3312" width="9.140625" style="10"/>
    <col min="3313" max="3313" width="38.5703125" style="10" customWidth="1"/>
    <col min="3314" max="3314" width="6.5703125" style="10" customWidth="1"/>
    <col min="3315" max="3315" width="7.7109375" style="10" bestFit="1" customWidth="1"/>
    <col min="3316" max="3316" width="7.28515625" style="10" customWidth="1"/>
    <col min="3317" max="3317" width="6.5703125" style="10" bestFit="1" customWidth="1"/>
    <col min="3318" max="3318" width="7.28515625" style="10" bestFit="1" customWidth="1"/>
    <col min="3319" max="3319" width="8.140625" style="10" customWidth="1"/>
    <col min="3320" max="3320" width="7.140625" style="10" customWidth="1"/>
    <col min="3321" max="3321" width="7.7109375" style="10" bestFit="1" customWidth="1"/>
    <col min="3322" max="3322" width="7.28515625" style="10" customWidth="1"/>
    <col min="3323" max="3323" width="7" style="10" customWidth="1"/>
    <col min="3324" max="3324" width="7.5703125" style="10" customWidth="1"/>
    <col min="3325" max="3325" width="7.140625" style="10" customWidth="1"/>
    <col min="3326" max="3326" width="7" style="10" customWidth="1"/>
    <col min="3327" max="3327" width="7.5703125" style="10" customWidth="1"/>
    <col min="3328" max="3328" width="7.140625" style="10" customWidth="1"/>
    <col min="3329" max="3345" width="8.7109375" style="10" customWidth="1"/>
    <col min="3346" max="3346" width="36.85546875" style="10" customWidth="1"/>
    <col min="3347" max="3353" width="14.28515625" style="10" customWidth="1"/>
    <col min="3354" max="3568" width="9.140625" style="10"/>
    <col min="3569" max="3569" width="38.5703125" style="10" customWidth="1"/>
    <col min="3570" max="3570" width="6.5703125" style="10" customWidth="1"/>
    <col min="3571" max="3571" width="7.7109375" style="10" bestFit="1" customWidth="1"/>
    <col min="3572" max="3572" width="7.28515625" style="10" customWidth="1"/>
    <col min="3573" max="3573" width="6.5703125" style="10" bestFit="1" customWidth="1"/>
    <col min="3574" max="3574" width="7.28515625" style="10" bestFit="1" customWidth="1"/>
    <col min="3575" max="3575" width="8.140625" style="10" customWidth="1"/>
    <col min="3576" max="3576" width="7.140625" style="10" customWidth="1"/>
    <col min="3577" max="3577" width="7.7109375" style="10" bestFit="1" customWidth="1"/>
    <col min="3578" max="3578" width="7.28515625" style="10" customWidth="1"/>
    <col min="3579" max="3579" width="7" style="10" customWidth="1"/>
    <col min="3580" max="3580" width="7.5703125" style="10" customWidth="1"/>
    <col min="3581" max="3581" width="7.140625" style="10" customWidth="1"/>
    <col min="3582" max="3582" width="7" style="10" customWidth="1"/>
    <col min="3583" max="3583" width="7.5703125" style="10" customWidth="1"/>
    <col min="3584" max="3584" width="7.140625" style="10" customWidth="1"/>
    <col min="3585" max="3601" width="8.7109375" style="10" customWidth="1"/>
    <col min="3602" max="3602" width="36.85546875" style="10" customWidth="1"/>
    <col min="3603" max="3609" width="14.28515625" style="10" customWidth="1"/>
    <col min="3610" max="3824" width="9.140625" style="10"/>
    <col min="3825" max="3825" width="38.5703125" style="10" customWidth="1"/>
    <col min="3826" max="3826" width="6.5703125" style="10" customWidth="1"/>
    <col min="3827" max="3827" width="7.7109375" style="10" bestFit="1" customWidth="1"/>
    <col min="3828" max="3828" width="7.28515625" style="10" customWidth="1"/>
    <col min="3829" max="3829" width="6.5703125" style="10" bestFit="1" customWidth="1"/>
    <col min="3830" max="3830" width="7.28515625" style="10" bestFit="1" customWidth="1"/>
    <col min="3831" max="3831" width="8.140625" style="10" customWidth="1"/>
    <col min="3832" max="3832" width="7.140625" style="10" customWidth="1"/>
    <col min="3833" max="3833" width="7.7109375" style="10" bestFit="1" customWidth="1"/>
    <col min="3834" max="3834" width="7.28515625" style="10" customWidth="1"/>
    <col min="3835" max="3835" width="7" style="10" customWidth="1"/>
    <col min="3836" max="3836" width="7.5703125" style="10" customWidth="1"/>
    <col min="3837" max="3837" width="7.140625" style="10" customWidth="1"/>
    <col min="3838" max="3838" width="7" style="10" customWidth="1"/>
    <col min="3839" max="3839" width="7.5703125" style="10" customWidth="1"/>
    <col min="3840" max="3840" width="7.140625" style="10" customWidth="1"/>
    <col min="3841" max="3857" width="8.7109375" style="10" customWidth="1"/>
    <col min="3858" max="3858" width="36.85546875" style="10" customWidth="1"/>
    <col min="3859" max="3865" width="14.28515625" style="10" customWidth="1"/>
    <col min="3866" max="4080" width="9.140625" style="10"/>
    <col min="4081" max="4081" width="38.5703125" style="10" customWidth="1"/>
    <col min="4082" max="4082" width="6.5703125" style="10" customWidth="1"/>
    <col min="4083" max="4083" width="7.7109375" style="10" bestFit="1" customWidth="1"/>
    <col min="4084" max="4084" width="7.28515625" style="10" customWidth="1"/>
    <col min="4085" max="4085" width="6.5703125" style="10" bestFit="1" customWidth="1"/>
    <col min="4086" max="4086" width="7.28515625" style="10" bestFit="1" customWidth="1"/>
    <col min="4087" max="4087" width="8.140625" style="10" customWidth="1"/>
    <col min="4088" max="4088" width="7.140625" style="10" customWidth="1"/>
    <col min="4089" max="4089" width="7.7109375" style="10" bestFit="1" customWidth="1"/>
    <col min="4090" max="4090" width="7.28515625" style="10" customWidth="1"/>
    <col min="4091" max="4091" width="7" style="10" customWidth="1"/>
    <col min="4092" max="4092" width="7.5703125" style="10" customWidth="1"/>
    <col min="4093" max="4093" width="7.140625" style="10" customWidth="1"/>
    <col min="4094" max="4094" width="7" style="10" customWidth="1"/>
    <col min="4095" max="4095" width="7.5703125" style="10" customWidth="1"/>
    <col min="4096" max="4096" width="7.140625" style="10" customWidth="1"/>
    <col min="4097" max="4113" width="8.7109375" style="10" customWidth="1"/>
    <col min="4114" max="4114" width="36.85546875" style="10" customWidth="1"/>
    <col min="4115" max="4121" width="14.28515625" style="10" customWidth="1"/>
    <col min="4122" max="4336" width="9.140625" style="10"/>
    <col min="4337" max="4337" width="38.5703125" style="10" customWidth="1"/>
    <col min="4338" max="4338" width="6.5703125" style="10" customWidth="1"/>
    <col min="4339" max="4339" width="7.7109375" style="10" bestFit="1" customWidth="1"/>
    <col min="4340" max="4340" width="7.28515625" style="10" customWidth="1"/>
    <col min="4341" max="4341" width="6.5703125" style="10" bestFit="1" customWidth="1"/>
    <col min="4342" max="4342" width="7.28515625" style="10" bestFit="1" customWidth="1"/>
    <col min="4343" max="4343" width="8.140625" style="10" customWidth="1"/>
    <col min="4344" max="4344" width="7.140625" style="10" customWidth="1"/>
    <col min="4345" max="4345" width="7.7109375" style="10" bestFit="1" customWidth="1"/>
    <col min="4346" max="4346" width="7.28515625" style="10" customWidth="1"/>
    <col min="4347" max="4347" width="7" style="10" customWidth="1"/>
    <col min="4348" max="4348" width="7.5703125" style="10" customWidth="1"/>
    <col min="4349" max="4349" width="7.140625" style="10" customWidth="1"/>
    <col min="4350" max="4350" width="7" style="10" customWidth="1"/>
    <col min="4351" max="4351" width="7.5703125" style="10" customWidth="1"/>
    <col min="4352" max="4352" width="7.140625" style="10" customWidth="1"/>
    <col min="4353" max="4369" width="8.7109375" style="10" customWidth="1"/>
    <col min="4370" max="4370" width="36.85546875" style="10" customWidth="1"/>
    <col min="4371" max="4377" width="14.28515625" style="10" customWidth="1"/>
    <col min="4378" max="4592" width="9.140625" style="10"/>
    <col min="4593" max="4593" width="38.5703125" style="10" customWidth="1"/>
    <col min="4594" max="4594" width="6.5703125" style="10" customWidth="1"/>
    <col min="4595" max="4595" width="7.7109375" style="10" bestFit="1" customWidth="1"/>
    <col min="4596" max="4596" width="7.28515625" style="10" customWidth="1"/>
    <col min="4597" max="4597" width="6.5703125" style="10" bestFit="1" customWidth="1"/>
    <col min="4598" max="4598" width="7.28515625" style="10" bestFit="1" customWidth="1"/>
    <col min="4599" max="4599" width="8.140625" style="10" customWidth="1"/>
    <col min="4600" max="4600" width="7.140625" style="10" customWidth="1"/>
    <col min="4601" max="4601" width="7.7109375" style="10" bestFit="1" customWidth="1"/>
    <col min="4602" max="4602" width="7.28515625" style="10" customWidth="1"/>
    <col min="4603" max="4603" width="7" style="10" customWidth="1"/>
    <col min="4604" max="4604" width="7.5703125" style="10" customWidth="1"/>
    <col min="4605" max="4605" width="7.140625" style="10" customWidth="1"/>
    <col min="4606" max="4606" width="7" style="10" customWidth="1"/>
    <col min="4607" max="4607" width="7.5703125" style="10" customWidth="1"/>
    <col min="4608" max="4608" width="7.140625" style="10" customWidth="1"/>
    <col min="4609" max="4625" width="8.7109375" style="10" customWidth="1"/>
    <col min="4626" max="4626" width="36.85546875" style="10" customWidth="1"/>
    <col min="4627" max="4633" width="14.28515625" style="10" customWidth="1"/>
    <col min="4634" max="4848" width="9.140625" style="10"/>
    <col min="4849" max="4849" width="38.5703125" style="10" customWidth="1"/>
    <col min="4850" max="4850" width="6.5703125" style="10" customWidth="1"/>
    <col min="4851" max="4851" width="7.7109375" style="10" bestFit="1" customWidth="1"/>
    <col min="4852" max="4852" width="7.28515625" style="10" customWidth="1"/>
    <col min="4853" max="4853" width="6.5703125" style="10" bestFit="1" customWidth="1"/>
    <col min="4854" max="4854" width="7.28515625" style="10" bestFit="1" customWidth="1"/>
    <col min="4855" max="4855" width="8.140625" style="10" customWidth="1"/>
    <col min="4856" max="4856" width="7.140625" style="10" customWidth="1"/>
    <col min="4857" max="4857" width="7.7109375" style="10" bestFit="1" customWidth="1"/>
    <col min="4858" max="4858" width="7.28515625" style="10" customWidth="1"/>
    <col min="4859" max="4859" width="7" style="10" customWidth="1"/>
    <col min="4860" max="4860" width="7.5703125" style="10" customWidth="1"/>
    <col min="4861" max="4861" width="7.140625" style="10" customWidth="1"/>
    <col min="4862" max="4862" width="7" style="10" customWidth="1"/>
    <col min="4863" max="4863" width="7.5703125" style="10" customWidth="1"/>
    <col min="4864" max="4864" width="7.140625" style="10" customWidth="1"/>
    <col min="4865" max="4881" width="8.7109375" style="10" customWidth="1"/>
    <col min="4882" max="4882" width="36.85546875" style="10" customWidth="1"/>
    <col min="4883" max="4889" width="14.28515625" style="10" customWidth="1"/>
    <col min="4890" max="5104" width="9.140625" style="10"/>
    <col min="5105" max="5105" width="38.5703125" style="10" customWidth="1"/>
    <col min="5106" max="5106" width="6.5703125" style="10" customWidth="1"/>
    <col min="5107" max="5107" width="7.7109375" style="10" bestFit="1" customWidth="1"/>
    <col min="5108" max="5108" width="7.28515625" style="10" customWidth="1"/>
    <col min="5109" max="5109" width="6.5703125" style="10" bestFit="1" customWidth="1"/>
    <col min="5110" max="5110" width="7.28515625" style="10" bestFit="1" customWidth="1"/>
    <col min="5111" max="5111" width="8.140625" style="10" customWidth="1"/>
    <col min="5112" max="5112" width="7.140625" style="10" customWidth="1"/>
    <col min="5113" max="5113" width="7.7109375" style="10" bestFit="1" customWidth="1"/>
    <col min="5114" max="5114" width="7.28515625" style="10" customWidth="1"/>
    <col min="5115" max="5115" width="7" style="10" customWidth="1"/>
    <col min="5116" max="5116" width="7.5703125" style="10" customWidth="1"/>
    <col min="5117" max="5117" width="7.140625" style="10" customWidth="1"/>
    <col min="5118" max="5118" width="7" style="10" customWidth="1"/>
    <col min="5119" max="5119" width="7.5703125" style="10" customWidth="1"/>
    <col min="5120" max="5120" width="7.140625" style="10" customWidth="1"/>
    <col min="5121" max="5137" width="8.7109375" style="10" customWidth="1"/>
    <col min="5138" max="5138" width="36.85546875" style="10" customWidth="1"/>
    <col min="5139" max="5145" width="14.28515625" style="10" customWidth="1"/>
    <col min="5146" max="5360" width="9.140625" style="10"/>
    <col min="5361" max="5361" width="38.5703125" style="10" customWidth="1"/>
    <col min="5362" max="5362" width="6.5703125" style="10" customWidth="1"/>
    <col min="5363" max="5363" width="7.7109375" style="10" bestFit="1" customWidth="1"/>
    <col min="5364" max="5364" width="7.28515625" style="10" customWidth="1"/>
    <col min="5365" max="5365" width="6.5703125" style="10" bestFit="1" customWidth="1"/>
    <col min="5366" max="5366" width="7.28515625" style="10" bestFit="1" customWidth="1"/>
    <col min="5367" max="5367" width="8.140625" style="10" customWidth="1"/>
    <col min="5368" max="5368" width="7.140625" style="10" customWidth="1"/>
    <col min="5369" max="5369" width="7.7109375" style="10" bestFit="1" customWidth="1"/>
    <col min="5370" max="5370" width="7.28515625" style="10" customWidth="1"/>
    <col min="5371" max="5371" width="7" style="10" customWidth="1"/>
    <col min="5372" max="5372" width="7.5703125" style="10" customWidth="1"/>
    <col min="5373" max="5373" width="7.140625" style="10" customWidth="1"/>
    <col min="5374" max="5374" width="7" style="10" customWidth="1"/>
    <col min="5375" max="5375" width="7.5703125" style="10" customWidth="1"/>
    <col min="5376" max="5376" width="7.140625" style="10" customWidth="1"/>
    <col min="5377" max="5393" width="8.7109375" style="10" customWidth="1"/>
    <col min="5394" max="5394" width="36.85546875" style="10" customWidth="1"/>
    <col min="5395" max="5401" width="14.28515625" style="10" customWidth="1"/>
    <col min="5402" max="5616" width="9.140625" style="10"/>
    <col min="5617" max="5617" width="38.5703125" style="10" customWidth="1"/>
    <col min="5618" max="5618" width="6.5703125" style="10" customWidth="1"/>
    <col min="5619" max="5619" width="7.7109375" style="10" bestFit="1" customWidth="1"/>
    <col min="5620" max="5620" width="7.28515625" style="10" customWidth="1"/>
    <col min="5621" max="5621" width="6.5703125" style="10" bestFit="1" customWidth="1"/>
    <col min="5622" max="5622" width="7.28515625" style="10" bestFit="1" customWidth="1"/>
    <col min="5623" max="5623" width="8.140625" style="10" customWidth="1"/>
    <col min="5624" max="5624" width="7.140625" style="10" customWidth="1"/>
    <col min="5625" max="5625" width="7.7109375" style="10" bestFit="1" customWidth="1"/>
    <col min="5626" max="5626" width="7.28515625" style="10" customWidth="1"/>
    <col min="5627" max="5627" width="7" style="10" customWidth="1"/>
    <col min="5628" max="5628" width="7.5703125" style="10" customWidth="1"/>
    <col min="5629" max="5629" width="7.140625" style="10" customWidth="1"/>
    <col min="5630" max="5630" width="7" style="10" customWidth="1"/>
    <col min="5631" max="5631" width="7.5703125" style="10" customWidth="1"/>
    <col min="5632" max="5632" width="7.140625" style="10" customWidth="1"/>
    <col min="5633" max="5649" width="8.7109375" style="10" customWidth="1"/>
    <col min="5650" max="5650" width="36.85546875" style="10" customWidth="1"/>
    <col min="5651" max="5657" width="14.28515625" style="10" customWidth="1"/>
    <col min="5658" max="5872" width="9.140625" style="10"/>
    <col min="5873" max="5873" width="38.5703125" style="10" customWidth="1"/>
    <col min="5874" max="5874" width="6.5703125" style="10" customWidth="1"/>
    <col min="5875" max="5875" width="7.7109375" style="10" bestFit="1" customWidth="1"/>
    <col min="5876" max="5876" width="7.28515625" style="10" customWidth="1"/>
    <col min="5877" max="5877" width="6.5703125" style="10" bestFit="1" customWidth="1"/>
    <col min="5878" max="5878" width="7.28515625" style="10" bestFit="1" customWidth="1"/>
    <col min="5879" max="5879" width="8.140625" style="10" customWidth="1"/>
    <col min="5880" max="5880" width="7.140625" style="10" customWidth="1"/>
    <col min="5881" max="5881" width="7.7109375" style="10" bestFit="1" customWidth="1"/>
    <col min="5882" max="5882" width="7.28515625" style="10" customWidth="1"/>
    <col min="5883" max="5883" width="7" style="10" customWidth="1"/>
    <col min="5884" max="5884" width="7.5703125" style="10" customWidth="1"/>
    <col min="5885" max="5885" width="7.140625" style="10" customWidth="1"/>
    <col min="5886" max="5886" width="7" style="10" customWidth="1"/>
    <col min="5887" max="5887" width="7.5703125" style="10" customWidth="1"/>
    <col min="5888" max="5888" width="7.140625" style="10" customWidth="1"/>
    <col min="5889" max="5905" width="8.7109375" style="10" customWidth="1"/>
    <col min="5906" max="5906" width="36.85546875" style="10" customWidth="1"/>
    <col min="5907" max="5913" width="14.28515625" style="10" customWidth="1"/>
    <col min="5914" max="6128" width="9.140625" style="10"/>
    <col min="6129" max="6129" width="38.5703125" style="10" customWidth="1"/>
    <col min="6130" max="6130" width="6.5703125" style="10" customWidth="1"/>
    <col min="6131" max="6131" width="7.7109375" style="10" bestFit="1" customWidth="1"/>
    <col min="6132" max="6132" width="7.28515625" style="10" customWidth="1"/>
    <col min="6133" max="6133" width="6.5703125" style="10" bestFit="1" customWidth="1"/>
    <col min="6134" max="6134" width="7.28515625" style="10" bestFit="1" customWidth="1"/>
    <col min="6135" max="6135" width="8.140625" style="10" customWidth="1"/>
    <col min="6136" max="6136" width="7.140625" style="10" customWidth="1"/>
    <col min="6137" max="6137" width="7.7109375" style="10" bestFit="1" customWidth="1"/>
    <col min="6138" max="6138" width="7.28515625" style="10" customWidth="1"/>
    <col min="6139" max="6139" width="7" style="10" customWidth="1"/>
    <col min="6140" max="6140" width="7.5703125" style="10" customWidth="1"/>
    <col min="6141" max="6141" width="7.140625" style="10" customWidth="1"/>
    <col min="6142" max="6142" width="7" style="10" customWidth="1"/>
    <col min="6143" max="6143" width="7.5703125" style="10" customWidth="1"/>
    <col min="6144" max="6144" width="7.140625" style="10" customWidth="1"/>
    <col min="6145" max="6161" width="8.7109375" style="10" customWidth="1"/>
    <col min="6162" max="6162" width="36.85546875" style="10" customWidth="1"/>
    <col min="6163" max="6169" width="14.28515625" style="10" customWidth="1"/>
    <col min="6170" max="6384" width="9.140625" style="10"/>
    <col min="6385" max="6385" width="38.5703125" style="10" customWidth="1"/>
    <col min="6386" max="6386" width="6.5703125" style="10" customWidth="1"/>
    <col min="6387" max="6387" width="7.7109375" style="10" bestFit="1" customWidth="1"/>
    <col min="6388" max="6388" width="7.28515625" style="10" customWidth="1"/>
    <col min="6389" max="6389" width="6.5703125" style="10" bestFit="1" customWidth="1"/>
    <col min="6390" max="6390" width="7.28515625" style="10" bestFit="1" customWidth="1"/>
    <col min="6391" max="6391" width="8.140625" style="10" customWidth="1"/>
    <col min="6392" max="6392" width="7.140625" style="10" customWidth="1"/>
    <col min="6393" max="6393" width="7.7109375" style="10" bestFit="1" customWidth="1"/>
    <col min="6394" max="6394" width="7.28515625" style="10" customWidth="1"/>
    <col min="6395" max="6395" width="7" style="10" customWidth="1"/>
    <col min="6396" max="6396" width="7.5703125" style="10" customWidth="1"/>
    <col min="6397" max="6397" width="7.140625" style="10" customWidth="1"/>
    <col min="6398" max="6398" width="7" style="10" customWidth="1"/>
    <col min="6399" max="6399" width="7.5703125" style="10" customWidth="1"/>
    <col min="6400" max="6400" width="7.140625" style="10" customWidth="1"/>
    <col min="6401" max="6417" width="8.7109375" style="10" customWidth="1"/>
    <col min="6418" max="6418" width="36.85546875" style="10" customWidth="1"/>
    <col min="6419" max="6425" width="14.28515625" style="10" customWidth="1"/>
    <col min="6426" max="6640" width="9.140625" style="10"/>
    <col min="6641" max="6641" width="38.5703125" style="10" customWidth="1"/>
    <col min="6642" max="6642" width="6.5703125" style="10" customWidth="1"/>
    <col min="6643" max="6643" width="7.7109375" style="10" bestFit="1" customWidth="1"/>
    <col min="6644" max="6644" width="7.28515625" style="10" customWidth="1"/>
    <col min="6645" max="6645" width="6.5703125" style="10" bestFit="1" customWidth="1"/>
    <col min="6646" max="6646" width="7.28515625" style="10" bestFit="1" customWidth="1"/>
    <col min="6647" max="6647" width="8.140625" style="10" customWidth="1"/>
    <col min="6648" max="6648" width="7.140625" style="10" customWidth="1"/>
    <col min="6649" max="6649" width="7.7109375" style="10" bestFit="1" customWidth="1"/>
    <col min="6650" max="6650" width="7.28515625" style="10" customWidth="1"/>
    <col min="6651" max="6651" width="7" style="10" customWidth="1"/>
    <col min="6652" max="6652" width="7.5703125" style="10" customWidth="1"/>
    <col min="6653" max="6653" width="7.140625" style="10" customWidth="1"/>
    <col min="6654" max="6654" width="7" style="10" customWidth="1"/>
    <col min="6655" max="6655" width="7.5703125" style="10" customWidth="1"/>
    <col min="6656" max="6656" width="7.140625" style="10" customWidth="1"/>
    <col min="6657" max="6673" width="8.7109375" style="10" customWidth="1"/>
    <col min="6674" max="6674" width="36.85546875" style="10" customWidth="1"/>
    <col min="6675" max="6681" width="14.28515625" style="10" customWidth="1"/>
    <col min="6682" max="6896" width="9.140625" style="10"/>
    <col min="6897" max="6897" width="38.5703125" style="10" customWidth="1"/>
    <col min="6898" max="6898" width="6.5703125" style="10" customWidth="1"/>
    <col min="6899" max="6899" width="7.7109375" style="10" bestFit="1" customWidth="1"/>
    <col min="6900" max="6900" width="7.28515625" style="10" customWidth="1"/>
    <col min="6901" max="6901" width="6.5703125" style="10" bestFit="1" customWidth="1"/>
    <col min="6902" max="6902" width="7.28515625" style="10" bestFit="1" customWidth="1"/>
    <col min="6903" max="6903" width="8.140625" style="10" customWidth="1"/>
    <col min="6904" max="6904" width="7.140625" style="10" customWidth="1"/>
    <col min="6905" max="6905" width="7.7109375" style="10" bestFit="1" customWidth="1"/>
    <col min="6906" max="6906" width="7.28515625" style="10" customWidth="1"/>
    <col min="6907" max="6907" width="7" style="10" customWidth="1"/>
    <col min="6908" max="6908" width="7.5703125" style="10" customWidth="1"/>
    <col min="6909" max="6909" width="7.140625" style="10" customWidth="1"/>
    <col min="6910" max="6910" width="7" style="10" customWidth="1"/>
    <col min="6911" max="6911" width="7.5703125" style="10" customWidth="1"/>
    <col min="6912" max="6912" width="7.140625" style="10" customWidth="1"/>
    <col min="6913" max="6929" width="8.7109375" style="10" customWidth="1"/>
    <col min="6930" max="6930" width="36.85546875" style="10" customWidth="1"/>
    <col min="6931" max="6937" width="14.28515625" style="10" customWidth="1"/>
    <col min="6938" max="7152" width="9.140625" style="10"/>
    <col min="7153" max="7153" width="38.5703125" style="10" customWidth="1"/>
    <col min="7154" max="7154" width="6.5703125" style="10" customWidth="1"/>
    <col min="7155" max="7155" width="7.7109375" style="10" bestFit="1" customWidth="1"/>
    <col min="7156" max="7156" width="7.28515625" style="10" customWidth="1"/>
    <col min="7157" max="7157" width="6.5703125" style="10" bestFit="1" customWidth="1"/>
    <col min="7158" max="7158" width="7.28515625" style="10" bestFit="1" customWidth="1"/>
    <col min="7159" max="7159" width="8.140625" style="10" customWidth="1"/>
    <col min="7160" max="7160" width="7.140625" style="10" customWidth="1"/>
    <col min="7161" max="7161" width="7.7109375" style="10" bestFit="1" customWidth="1"/>
    <col min="7162" max="7162" width="7.28515625" style="10" customWidth="1"/>
    <col min="7163" max="7163" width="7" style="10" customWidth="1"/>
    <col min="7164" max="7164" width="7.5703125" style="10" customWidth="1"/>
    <col min="7165" max="7165" width="7.140625" style="10" customWidth="1"/>
    <col min="7166" max="7166" width="7" style="10" customWidth="1"/>
    <col min="7167" max="7167" width="7.5703125" style="10" customWidth="1"/>
    <col min="7168" max="7168" width="7.140625" style="10" customWidth="1"/>
    <col min="7169" max="7185" width="8.7109375" style="10" customWidth="1"/>
    <col min="7186" max="7186" width="36.85546875" style="10" customWidth="1"/>
    <col min="7187" max="7193" width="14.28515625" style="10" customWidth="1"/>
    <col min="7194" max="7408" width="9.140625" style="10"/>
    <col min="7409" max="7409" width="38.5703125" style="10" customWidth="1"/>
    <col min="7410" max="7410" width="6.5703125" style="10" customWidth="1"/>
    <col min="7411" max="7411" width="7.7109375" style="10" bestFit="1" customWidth="1"/>
    <col min="7412" max="7412" width="7.28515625" style="10" customWidth="1"/>
    <col min="7413" max="7413" width="6.5703125" style="10" bestFit="1" customWidth="1"/>
    <col min="7414" max="7414" width="7.28515625" style="10" bestFit="1" customWidth="1"/>
    <col min="7415" max="7415" width="8.140625" style="10" customWidth="1"/>
    <col min="7416" max="7416" width="7.140625" style="10" customWidth="1"/>
    <col min="7417" max="7417" width="7.7109375" style="10" bestFit="1" customWidth="1"/>
    <col min="7418" max="7418" width="7.28515625" style="10" customWidth="1"/>
    <col min="7419" max="7419" width="7" style="10" customWidth="1"/>
    <col min="7420" max="7420" width="7.5703125" style="10" customWidth="1"/>
    <col min="7421" max="7421" width="7.140625" style="10" customWidth="1"/>
    <col min="7422" max="7422" width="7" style="10" customWidth="1"/>
    <col min="7423" max="7423" width="7.5703125" style="10" customWidth="1"/>
    <col min="7424" max="7424" width="7.140625" style="10" customWidth="1"/>
    <col min="7425" max="7441" width="8.7109375" style="10" customWidth="1"/>
    <col min="7442" max="7442" width="36.85546875" style="10" customWidth="1"/>
    <col min="7443" max="7449" width="14.28515625" style="10" customWidth="1"/>
    <col min="7450" max="7664" width="9.140625" style="10"/>
    <col min="7665" max="7665" width="38.5703125" style="10" customWidth="1"/>
    <col min="7666" max="7666" width="6.5703125" style="10" customWidth="1"/>
    <col min="7667" max="7667" width="7.7109375" style="10" bestFit="1" customWidth="1"/>
    <col min="7668" max="7668" width="7.28515625" style="10" customWidth="1"/>
    <col min="7669" max="7669" width="6.5703125" style="10" bestFit="1" customWidth="1"/>
    <col min="7670" max="7670" width="7.28515625" style="10" bestFit="1" customWidth="1"/>
    <col min="7671" max="7671" width="8.140625" style="10" customWidth="1"/>
    <col min="7672" max="7672" width="7.140625" style="10" customWidth="1"/>
    <col min="7673" max="7673" width="7.7109375" style="10" bestFit="1" customWidth="1"/>
    <col min="7674" max="7674" width="7.28515625" style="10" customWidth="1"/>
    <col min="7675" max="7675" width="7" style="10" customWidth="1"/>
    <col min="7676" max="7676" width="7.5703125" style="10" customWidth="1"/>
    <col min="7677" max="7677" width="7.140625" style="10" customWidth="1"/>
    <col min="7678" max="7678" width="7" style="10" customWidth="1"/>
    <col min="7679" max="7679" width="7.5703125" style="10" customWidth="1"/>
    <col min="7680" max="7680" width="7.140625" style="10" customWidth="1"/>
    <col min="7681" max="7697" width="8.7109375" style="10" customWidth="1"/>
    <col min="7698" max="7698" width="36.85546875" style="10" customWidth="1"/>
    <col min="7699" max="7705" width="14.28515625" style="10" customWidth="1"/>
    <col min="7706" max="7920" width="9.140625" style="10"/>
    <col min="7921" max="7921" width="38.5703125" style="10" customWidth="1"/>
    <col min="7922" max="7922" width="6.5703125" style="10" customWidth="1"/>
    <col min="7923" max="7923" width="7.7109375" style="10" bestFit="1" customWidth="1"/>
    <col min="7924" max="7924" width="7.28515625" style="10" customWidth="1"/>
    <col min="7925" max="7925" width="6.5703125" style="10" bestFit="1" customWidth="1"/>
    <col min="7926" max="7926" width="7.28515625" style="10" bestFit="1" customWidth="1"/>
    <col min="7927" max="7927" width="8.140625" style="10" customWidth="1"/>
    <col min="7928" max="7928" width="7.140625" style="10" customWidth="1"/>
    <col min="7929" max="7929" width="7.7109375" style="10" bestFit="1" customWidth="1"/>
    <col min="7930" max="7930" width="7.28515625" style="10" customWidth="1"/>
    <col min="7931" max="7931" width="7" style="10" customWidth="1"/>
    <col min="7932" max="7932" width="7.5703125" style="10" customWidth="1"/>
    <col min="7933" max="7933" width="7.140625" style="10" customWidth="1"/>
    <col min="7934" max="7934" width="7" style="10" customWidth="1"/>
    <col min="7935" max="7935" width="7.5703125" style="10" customWidth="1"/>
    <col min="7936" max="7936" width="7.140625" style="10" customWidth="1"/>
    <col min="7937" max="7953" width="8.7109375" style="10" customWidth="1"/>
    <col min="7954" max="7954" width="36.85546875" style="10" customWidth="1"/>
    <col min="7955" max="7961" width="14.28515625" style="10" customWidth="1"/>
    <col min="7962" max="8176" width="9.140625" style="10"/>
    <col min="8177" max="8177" width="38.5703125" style="10" customWidth="1"/>
    <col min="8178" max="8178" width="6.5703125" style="10" customWidth="1"/>
    <col min="8179" max="8179" width="7.7109375" style="10" bestFit="1" customWidth="1"/>
    <col min="8180" max="8180" width="7.28515625" style="10" customWidth="1"/>
    <col min="8181" max="8181" width="6.5703125" style="10" bestFit="1" customWidth="1"/>
    <col min="8182" max="8182" width="7.28515625" style="10" bestFit="1" customWidth="1"/>
    <col min="8183" max="8183" width="8.140625" style="10" customWidth="1"/>
    <col min="8184" max="8184" width="7.140625" style="10" customWidth="1"/>
    <col min="8185" max="8185" width="7.7109375" style="10" bestFit="1" customWidth="1"/>
    <col min="8186" max="8186" width="7.28515625" style="10" customWidth="1"/>
    <col min="8187" max="8187" width="7" style="10" customWidth="1"/>
    <col min="8188" max="8188" width="7.5703125" style="10" customWidth="1"/>
    <col min="8189" max="8189" width="7.140625" style="10" customWidth="1"/>
    <col min="8190" max="8190" width="7" style="10" customWidth="1"/>
    <col min="8191" max="8191" width="7.5703125" style="10" customWidth="1"/>
    <col min="8192" max="8192" width="7.140625" style="10" customWidth="1"/>
    <col min="8193" max="8209" width="8.7109375" style="10" customWidth="1"/>
    <col min="8210" max="8210" width="36.85546875" style="10" customWidth="1"/>
    <col min="8211" max="8217" width="14.28515625" style="10" customWidth="1"/>
    <col min="8218" max="8432" width="9.140625" style="10"/>
    <col min="8433" max="8433" width="38.5703125" style="10" customWidth="1"/>
    <col min="8434" max="8434" width="6.5703125" style="10" customWidth="1"/>
    <col min="8435" max="8435" width="7.7109375" style="10" bestFit="1" customWidth="1"/>
    <col min="8436" max="8436" width="7.28515625" style="10" customWidth="1"/>
    <col min="8437" max="8437" width="6.5703125" style="10" bestFit="1" customWidth="1"/>
    <col min="8438" max="8438" width="7.28515625" style="10" bestFit="1" customWidth="1"/>
    <col min="8439" max="8439" width="8.140625" style="10" customWidth="1"/>
    <col min="8440" max="8440" width="7.140625" style="10" customWidth="1"/>
    <col min="8441" max="8441" width="7.7109375" style="10" bestFit="1" customWidth="1"/>
    <col min="8442" max="8442" width="7.28515625" style="10" customWidth="1"/>
    <col min="8443" max="8443" width="7" style="10" customWidth="1"/>
    <col min="8444" max="8444" width="7.5703125" style="10" customWidth="1"/>
    <col min="8445" max="8445" width="7.140625" style="10" customWidth="1"/>
    <col min="8446" max="8446" width="7" style="10" customWidth="1"/>
    <col min="8447" max="8447" width="7.5703125" style="10" customWidth="1"/>
    <col min="8448" max="8448" width="7.140625" style="10" customWidth="1"/>
    <col min="8449" max="8465" width="8.7109375" style="10" customWidth="1"/>
    <col min="8466" max="8466" width="36.85546875" style="10" customWidth="1"/>
    <col min="8467" max="8473" width="14.28515625" style="10" customWidth="1"/>
    <col min="8474" max="8688" width="9.140625" style="10"/>
    <col min="8689" max="8689" width="38.5703125" style="10" customWidth="1"/>
    <col min="8690" max="8690" width="6.5703125" style="10" customWidth="1"/>
    <col min="8691" max="8691" width="7.7109375" style="10" bestFit="1" customWidth="1"/>
    <col min="8692" max="8692" width="7.28515625" style="10" customWidth="1"/>
    <col min="8693" max="8693" width="6.5703125" style="10" bestFit="1" customWidth="1"/>
    <col min="8694" max="8694" width="7.28515625" style="10" bestFit="1" customWidth="1"/>
    <col min="8695" max="8695" width="8.140625" style="10" customWidth="1"/>
    <col min="8696" max="8696" width="7.140625" style="10" customWidth="1"/>
    <col min="8697" max="8697" width="7.7109375" style="10" bestFit="1" customWidth="1"/>
    <col min="8698" max="8698" width="7.28515625" style="10" customWidth="1"/>
    <col min="8699" max="8699" width="7" style="10" customWidth="1"/>
    <col min="8700" max="8700" width="7.5703125" style="10" customWidth="1"/>
    <col min="8701" max="8701" width="7.140625" style="10" customWidth="1"/>
    <col min="8702" max="8702" width="7" style="10" customWidth="1"/>
    <col min="8703" max="8703" width="7.5703125" style="10" customWidth="1"/>
    <col min="8704" max="8704" width="7.140625" style="10" customWidth="1"/>
    <col min="8705" max="8721" width="8.7109375" style="10" customWidth="1"/>
    <col min="8722" max="8722" width="36.85546875" style="10" customWidth="1"/>
    <col min="8723" max="8729" width="14.28515625" style="10" customWidth="1"/>
    <col min="8730" max="8944" width="9.140625" style="10"/>
    <col min="8945" max="8945" width="38.5703125" style="10" customWidth="1"/>
    <col min="8946" max="8946" width="6.5703125" style="10" customWidth="1"/>
    <col min="8947" max="8947" width="7.7109375" style="10" bestFit="1" customWidth="1"/>
    <col min="8948" max="8948" width="7.28515625" style="10" customWidth="1"/>
    <col min="8949" max="8949" width="6.5703125" style="10" bestFit="1" customWidth="1"/>
    <col min="8950" max="8950" width="7.28515625" style="10" bestFit="1" customWidth="1"/>
    <col min="8951" max="8951" width="8.140625" style="10" customWidth="1"/>
    <col min="8952" max="8952" width="7.140625" style="10" customWidth="1"/>
    <col min="8953" max="8953" width="7.7109375" style="10" bestFit="1" customWidth="1"/>
    <col min="8954" max="8954" width="7.28515625" style="10" customWidth="1"/>
    <col min="8955" max="8955" width="7" style="10" customWidth="1"/>
    <col min="8956" max="8956" width="7.5703125" style="10" customWidth="1"/>
    <col min="8957" max="8957" width="7.140625" style="10" customWidth="1"/>
    <col min="8958" max="8958" width="7" style="10" customWidth="1"/>
    <col min="8959" max="8959" width="7.5703125" style="10" customWidth="1"/>
    <col min="8960" max="8960" width="7.140625" style="10" customWidth="1"/>
    <col min="8961" max="8977" width="8.7109375" style="10" customWidth="1"/>
    <col min="8978" max="8978" width="36.85546875" style="10" customWidth="1"/>
    <col min="8979" max="8985" width="14.28515625" style="10" customWidth="1"/>
    <col min="8986" max="9200" width="9.140625" style="10"/>
    <col min="9201" max="9201" width="38.5703125" style="10" customWidth="1"/>
    <col min="9202" max="9202" width="6.5703125" style="10" customWidth="1"/>
    <col min="9203" max="9203" width="7.7109375" style="10" bestFit="1" customWidth="1"/>
    <col min="9204" max="9204" width="7.28515625" style="10" customWidth="1"/>
    <col min="9205" max="9205" width="6.5703125" style="10" bestFit="1" customWidth="1"/>
    <col min="9206" max="9206" width="7.28515625" style="10" bestFit="1" customWidth="1"/>
    <col min="9207" max="9207" width="8.140625" style="10" customWidth="1"/>
    <col min="9208" max="9208" width="7.140625" style="10" customWidth="1"/>
    <col min="9209" max="9209" width="7.7109375" style="10" bestFit="1" customWidth="1"/>
    <col min="9210" max="9210" width="7.28515625" style="10" customWidth="1"/>
    <col min="9211" max="9211" width="7" style="10" customWidth="1"/>
    <col min="9212" max="9212" width="7.5703125" style="10" customWidth="1"/>
    <col min="9213" max="9213" width="7.140625" style="10" customWidth="1"/>
    <col min="9214" max="9214" width="7" style="10" customWidth="1"/>
    <col min="9215" max="9215" width="7.5703125" style="10" customWidth="1"/>
    <col min="9216" max="9216" width="7.140625" style="10" customWidth="1"/>
    <col min="9217" max="9233" width="8.7109375" style="10" customWidth="1"/>
    <col min="9234" max="9234" width="36.85546875" style="10" customWidth="1"/>
    <col min="9235" max="9241" width="14.28515625" style="10" customWidth="1"/>
    <col min="9242" max="9456" width="9.140625" style="10"/>
    <col min="9457" max="9457" width="38.5703125" style="10" customWidth="1"/>
    <col min="9458" max="9458" width="6.5703125" style="10" customWidth="1"/>
    <col min="9459" max="9459" width="7.7109375" style="10" bestFit="1" customWidth="1"/>
    <col min="9460" max="9460" width="7.28515625" style="10" customWidth="1"/>
    <col min="9461" max="9461" width="6.5703125" style="10" bestFit="1" customWidth="1"/>
    <col min="9462" max="9462" width="7.28515625" style="10" bestFit="1" customWidth="1"/>
    <col min="9463" max="9463" width="8.140625" style="10" customWidth="1"/>
    <col min="9464" max="9464" width="7.140625" style="10" customWidth="1"/>
    <col min="9465" max="9465" width="7.7109375" style="10" bestFit="1" customWidth="1"/>
    <col min="9466" max="9466" width="7.28515625" style="10" customWidth="1"/>
    <col min="9467" max="9467" width="7" style="10" customWidth="1"/>
    <col min="9468" max="9468" width="7.5703125" style="10" customWidth="1"/>
    <col min="9469" max="9469" width="7.140625" style="10" customWidth="1"/>
    <col min="9470" max="9470" width="7" style="10" customWidth="1"/>
    <col min="9471" max="9471" width="7.5703125" style="10" customWidth="1"/>
    <col min="9472" max="9472" width="7.140625" style="10" customWidth="1"/>
    <col min="9473" max="9489" width="8.7109375" style="10" customWidth="1"/>
    <col min="9490" max="9490" width="36.85546875" style="10" customWidth="1"/>
    <col min="9491" max="9497" width="14.28515625" style="10" customWidth="1"/>
    <col min="9498" max="9712" width="9.140625" style="10"/>
    <col min="9713" max="9713" width="38.5703125" style="10" customWidth="1"/>
    <col min="9714" max="9714" width="6.5703125" style="10" customWidth="1"/>
    <col min="9715" max="9715" width="7.7109375" style="10" bestFit="1" customWidth="1"/>
    <col min="9716" max="9716" width="7.28515625" style="10" customWidth="1"/>
    <col min="9717" max="9717" width="6.5703125" style="10" bestFit="1" customWidth="1"/>
    <col min="9718" max="9718" width="7.28515625" style="10" bestFit="1" customWidth="1"/>
    <col min="9719" max="9719" width="8.140625" style="10" customWidth="1"/>
    <col min="9720" max="9720" width="7.140625" style="10" customWidth="1"/>
    <col min="9721" max="9721" width="7.7109375" style="10" bestFit="1" customWidth="1"/>
    <col min="9722" max="9722" width="7.28515625" style="10" customWidth="1"/>
    <col min="9723" max="9723" width="7" style="10" customWidth="1"/>
    <col min="9724" max="9724" width="7.5703125" style="10" customWidth="1"/>
    <col min="9725" max="9725" width="7.140625" style="10" customWidth="1"/>
    <col min="9726" max="9726" width="7" style="10" customWidth="1"/>
    <col min="9727" max="9727" width="7.5703125" style="10" customWidth="1"/>
    <col min="9728" max="9728" width="7.140625" style="10" customWidth="1"/>
    <col min="9729" max="9745" width="8.7109375" style="10" customWidth="1"/>
    <col min="9746" max="9746" width="36.85546875" style="10" customWidth="1"/>
    <col min="9747" max="9753" width="14.28515625" style="10" customWidth="1"/>
    <col min="9754" max="9968" width="9.140625" style="10"/>
    <col min="9969" max="9969" width="38.5703125" style="10" customWidth="1"/>
    <col min="9970" max="9970" width="6.5703125" style="10" customWidth="1"/>
    <col min="9971" max="9971" width="7.7109375" style="10" bestFit="1" customWidth="1"/>
    <col min="9972" max="9972" width="7.28515625" style="10" customWidth="1"/>
    <col min="9973" max="9973" width="6.5703125" style="10" bestFit="1" customWidth="1"/>
    <col min="9974" max="9974" width="7.28515625" style="10" bestFit="1" customWidth="1"/>
    <col min="9975" max="9975" width="8.140625" style="10" customWidth="1"/>
    <col min="9976" max="9976" width="7.140625" style="10" customWidth="1"/>
    <col min="9977" max="9977" width="7.7109375" style="10" bestFit="1" customWidth="1"/>
    <col min="9978" max="9978" width="7.28515625" style="10" customWidth="1"/>
    <col min="9979" max="9979" width="7" style="10" customWidth="1"/>
    <col min="9980" max="9980" width="7.5703125" style="10" customWidth="1"/>
    <col min="9981" max="9981" width="7.140625" style="10" customWidth="1"/>
    <col min="9982" max="9982" width="7" style="10" customWidth="1"/>
    <col min="9983" max="9983" width="7.5703125" style="10" customWidth="1"/>
    <col min="9984" max="9984" width="7.140625" style="10" customWidth="1"/>
    <col min="9985" max="10001" width="8.7109375" style="10" customWidth="1"/>
    <col min="10002" max="10002" width="36.85546875" style="10" customWidth="1"/>
    <col min="10003" max="10009" width="14.28515625" style="10" customWidth="1"/>
    <col min="10010" max="10224" width="9.140625" style="10"/>
    <col min="10225" max="10225" width="38.5703125" style="10" customWidth="1"/>
    <col min="10226" max="10226" width="6.5703125" style="10" customWidth="1"/>
    <col min="10227" max="10227" width="7.7109375" style="10" bestFit="1" customWidth="1"/>
    <col min="10228" max="10228" width="7.28515625" style="10" customWidth="1"/>
    <col min="10229" max="10229" width="6.5703125" style="10" bestFit="1" customWidth="1"/>
    <col min="10230" max="10230" width="7.28515625" style="10" bestFit="1" customWidth="1"/>
    <col min="10231" max="10231" width="8.140625" style="10" customWidth="1"/>
    <col min="10232" max="10232" width="7.140625" style="10" customWidth="1"/>
    <col min="10233" max="10233" width="7.7109375" style="10" bestFit="1" customWidth="1"/>
    <col min="10234" max="10234" width="7.28515625" style="10" customWidth="1"/>
    <col min="10235" max="10235" width="7" style="10" customWidth="1"/>
    <col min="10236" max="10236" width="7.5703125" style="10" customWidth="1"/>
    <col min="10237" max="10237" width="7.140625" style="10" customWidth="1"/>
    <col min="10238" max="10238" width="7" style="10" customWidth="1"/>
    <col min="10239" max="10239" width="7.5703125" style="10" customWidth="1"/>
    <col min="10240" max="10240" width="7.140625" style="10" customWidth="1"/>
    <col min="10241" max="10257" width="8.7109375" style="10" customWidth="1"/>
    <col min="10258" max="10258" width="36.85546875" style="10" customWidth="1"/>
    <col min="10259" max="10265" width="14.28515625" style="10" customWidth="1"/>
    <col min="10266" max="10480" width="9.140625" style="10"/>
    <col min="10481" max="10481" width="38.5703125" style="10" customWidth="1"/>
    <col min="10482" max="10482" width="6.5703125" style="10" customWidth="1"/>
    <col min="10483" max="10483" width="7.7109375" style="10" bestFit="1" customWidth="1"/>
    <col min="10484" max="10484" width="7.28515625" style="10" customWidth="1"/>
    <col min="10485" max="10485" width="6.5703125" style="10" bestFit="1" customWidth="1"/>
    <col min="10486" max="10486" width="7.28515625" style="10" bestFit="1" customWidth="1"/>
    <col min="10487" max="10487" width="8.140625" style="10" customWidth="1"/>
    <col min="10488" max="10488" width="7.140625" style="10" customWidth="1"/>
    <col min="10489" max="10489" width="7.7109375" style="10" bestFit="1" customWidth="1"/>
    <col min="10490" max="10490" width="7.28515625" style="10" customWidth="1"/>
    <col min="10491" max="10491" width="7" style="10" customWidth="1"/>
    <col min="10492" max="10492" width="7.5703125" style="10" customWidth="1"/>
    <col min="10493" max="10493" width="7.140625" style="10" customWidth="1"/>
    <col min="10494" max="10494" width="7" style="10" customWidth="1"/>
    <col min="10495" max="10495" width="7.5703125" style="10" customWidth="1"/>
    <col min="10496" max="10496" width="7.140625" style="10" customWidth="1"/>
    <col min="10497" max="10513" width="8.7109375" style="10" customWidth="1"/>
    <col min="10514" max="10514" width="36.85546875" style="10" customWidth="1"/>
    <col min="10515" max="10521" width="14.28515625" style="10" customWidth="1"/>
    <col min="10522" max="10736" width="9.140625" style="10"/>
    <col min="10737" max="10737" width="38.5703125" style="10" customWidth="1"/>
    <col min="10738" max="10738" width="6.5703125" style="10" customWidth="1"/>
    <col min="10739" max="10739" width="7.7109375" style="10" bestFit="1" customWidth="1"/>
    <col min="10740" max="10740" width="7.28515625" style="10" customWidth="1"/>
    <col min="10741" max="10741" width="6.5703125" style="10" bestFit="1" customWidth="1"/>
    <col min="10742" max="10742" width="7.28515625" style="10" bestFit="1" customWidth="1"/>
    <col min="10743" max="10743" width="8.140625" style="10" customWidth="1"/>
    <col min="10744" max="10744" width="7.140625" style="10" customWidth="1"/>
    <col min="10745" max="10745" width="7.7109375" style="10" bestFit="1" customWidth="1"/>
    <col min="10746" max="10746" width="7.28515625" style="10" customWidth="1"/>
    <col min="10747" max="10747" width="7" style="10" customWidth="1"/>
    <col min="10748" max="10748" width="7.5703125" style="10" customWidth="1"/>
    <col min="10749" max="10749" width="7.140625" style="10" customWidth="1"/>
    <col min="10750" max="10750" width="7" style="10" customWidth="1"/>
    <col min="10751" max="10751" width="7.5703125" style="10" customWidth="1"/>
    <col min="10752" max="10752" width="7.140625" style="10" customWidth="1"/>
    <col min="10753" max="10769" width="8.7109375" style="10" customWidth="1"/>
    <col min="10770" max="10770" width="36.85546875" style="10" customWidth="1"/>
    <col min="10771" max="10777" width="14.28515625" style="10" customWidth="1"/>
    <col min="10778" max="10992" width="9.140625" style="10"/>
    <col min="10993" max="10993" width="38.5703125" style="10" customWidth="1"/>
    <col min="10994" max="10994" width="6.5703125" style="10" customWidth="1"/>
    <col min="10995" max="10995" width="7.7109375" style="10" bestFit="1" customWidth="1"/>
    <col min="10996" max="10996" width="7.28515625" style="10" customWidth="1"/>
    <col min="10997" max="10997" width="6.5703125" style="10" bestFit="1" customWidth="1"/>
    <col min="10998" max="10998" width="7.28515625" style="10" bestFit="1" customWidth="1"/>
    <col min="10999" max="10999" width="8.140625" style="10" customWidth="1"/>
    <col min="11000" max="11000" width="7.140625" style="10" customWidth="1"/>
    <col min="11001" max="11001" width="7.7109375" style="10" bestFit="1" customWidth="1"/>
    <col min="11002" max="11002" width="7.28515625" style="10" customWidth="1"/>
    <col min="11003" max="11003" width="7" style="10" customWidth="1"/>
    <col min="11004" max="11004" width="7.5703125" style="10" customWidth="1"/>
    <col min="11005" max="11005" width="7.140625" style="10" customWidth="1"/>
    <col min="11006" max="11006" width="7" style="10" customWidth="1"/>
    <col min="11007" max="11007" width="7.5703125" style="10" customWidth="1"/>
    <col min="11008" max="11008" width="7.140625" style="10" customWidth="1"/>
    <col min="11009" max="11025" width="8.7109375" style="10" customWidth="1"/>
    <col min="11026" max="11026" width="36.85546875" style="10" customWidth="1"/>
    <col min="11027" max="11033" width="14.28515625" style="10" customWidth="1"/>
    <col min="11034" max="11248" width="9.140625" style="10"/>
    <col min="11249" max="11249" width="38.5703125" style="10" customWidth="1"/>
    <col min="11250" max="11250" width="6.5703125" style="10" customWidth="1"/>
    <col min="11251" max="11251" width="7.7109375" style="10" bestFit="1" customWidth="1"/>
    <col min="11252" max="11252" width="7.28515625" style="10" customWidth="1"/>
    <col min="11253" max="11253" width="6.5703125" style="10" bestFit="1" customWidth="1"/>
    <col min="11254" max="11254" width="7.28515625" style="10" bestFit="1" customWidth="1"/>
    <col min="11255" max="11255" width="8.140625" style="10" customWidth="1"/>
    <col min="11256" max="11256" width="7.140625" style="10" customWidth="1"/>
    <col min="11257" max="11257" width="7.7109375" style="10" bestFit="1" customWidth="1"/>
    <col min="11258" max="11258" width="7.28515625" style="10" customWidth="1"/>
    <col min="11259" max="11259" width="7" style="10" customWidth="1"/>
    <col min="11260" max="11260" width="7.5703125" style="10" customWidth="1"/>
    <col min="11261" max="11261" width="7.140625" style="10" customWidth="1"/>
    <col min="11262" max="11262" width="7" style="10" customWidth="1"/>
    <col min="11263" max="11263" width="7.5703125" style="10" customWidth="1"/>
    <col min="11264" max="11264" width="7.140625" style="10" customWidth="1"/>
    <col min="11265" max="11281" width="8.7109375" style="10" customWidth="1"/>
    <col min="11282" max="11282" width="36.85546875" style="10" customWidth="1"/>
    <col min="11283" max="11289" width="14.28515625" style="10" customWidth="1"/>
    <col min="11290" max="11504" width="9.140625" style="10"/>
    <col min="11505" max="11505" width="38.5703125" style="10" customWidth="1"/>
    <col min="11506" max="11506" width="6.5703125" style="10" customWidth="1"/>
    <col min="11507" max="11507" width="7.7109375" style="10" bestFit="1" customWidth="1"/>
    <col min="11508" max="11508" width="7.28515625" style="10" customWidth="1"/>
    <col min="11509" max="11509" width="6.5703125" style="10" bestFit="1" customWidth="1"/>
    <col min="11510" max="11510" width="7.28515625" style="10" bestFit="1" customWidth="1"/>
    <col min="11511" max="11511" width="8.140625" style="10" customWidth="1"/>
    <col min="11512" max="11512" width="7.140625" style="10" customWidth="1"/>
    <col min="11513" max="11513" width="7.7109375" style="10" bestFit="1" customWidth="1"/>
    <col min="11514" max="11514" width="7.28515625" style="10" customWidth="1"/>
    <col min="11515" max="11515" width="7" style="10" customWidth="1"/>
    <col min="11516" max="11516" width="7.5703125" style="10" customWidth="1"/>
    <col min="11517" max="11517" width="7.140625" style="10" customWidth="1"/>
    <col min="11518" max="11518" width="7" style="10" customWidth="1"/>
    <col min="11519" max="11519" width="7.5703125" style="10" customWidth="1"/>
    <col min="11520" max="11520" width="7.140625" style="10" customWidth="1"/>
    <col min="11521" max="11537" width="8.7109375" style="10" customWidth="1"/>
    <col min="11538" max="11538" width="36.85546875" style="10" customWidth="1"/>
    <col min="11539" max="11545" width="14.28515625" style="10" customWidth="1"/>
    <col min="11546" max="11760" width="9.140625" style="10"/>
    <col min="11761" max="11761" width="38.5703125" style="10" customWidth="1"/>
    <col min="11762" max="11762" width="6.5703125" style="10" customWidth="1"/>
    <col min="11763" max="11763" width="7.7109375" style="10" bestFit="1" customWidth="1"/>
    <col min="11764" max="11764" width="7.28515625" style="10" customWidth="1"/>
    <col min="11765" max="11765" width="6.5703125" style="10" bestFit="1" customWidth="1"/>
    <col min="11766" max="11766" width="7.28515625" style="10" bestFit="1" customWidth="1"/>
    <col min="11767" max="11767" width="8.140625" style="10" customWidth="1"/>
    <col min="11768" max="11768" width="7.140625" style="10" customWidth="1"/>
    <col min="11769" max="11769" width="7.7109375" style="10" bestFit="1" customWidth="1"/>
    <col min="11770" max="11770" width="7.28515625" style="10" customWidth="1"/>
    <col min="11771" max="11771" width="7" style="10" customWidth="1"/>
    <col min="11772" max="11772" width="7.5703125" style="10" customWidth="1"/>
    <col min="11773" max="11773" width="7.140625" style="10" customWidth="1"/>
    <col min="11774" max="11774" width="7" style="10" customWidth="1"/>
    <col min="11775" max="11775" width="7.5703125" style="10" customWidth="1"/>
    <col min="11776" max="11776" width="7.140625" style="10" customWidth="1"/>
    <col min="11777" max="11793" width="8.7109375" style="10" customWidth="1"/>
    <col min="11794" max="11794" width="36.85546875" style="10" customWidth="1"/>
    <col min="11795" max="11801" width="14.28515625" style="10" customWidth="1"/>
    <col min="11802" max="12016" width="9.140625" style="10"/>
    <col min="12017" max="12017" width="38.5703125" style="10" customWidth="1"/>
    <col min="12018" max="12018" width="6.5703125" style="10" customWidth="1"/>
    <col min="12019" max="12019" width="7.7109375" style="10" bestFit="1" customWidth="1"/>
    <col min="12020" max="12020" width="7.28515625" style="10" customWidth="1"/>
    <col min="12021" max="12021" width="6.5703125" style="10" bestFit="1" customWidth="1"/>
    <col min="12022" max="12022" width="7.28515625" style="10" bestFit="1" customWidth="1"/>
    <col min="12023" max="12023" width="8.140625" style="10" customWidth="1"/>
    <col min="12024" max="12024" width="7.140625" style="10" customWidth="1"/>
    <col min="12025" max="12025" width="7.7109375" style="10" bestFit="1" customWidth="1"/>
    <col min="12026" max="12026" width="7.28515625" style="10" customWidth="1"/>
    <col min="12027" max="12027" width="7" style="10" customWidth="1"/>
    <col min="12028" max="12028" width="7.5703125" style="10" customWidth="1"/>
    <col min="12029" max="12029" width="7.140625" style="10" customWidth="1"/>
    <col min="12030" max="12030" width="7" style="10" customWidth="1"/>
    <col min="12031" max="12031" width="7.5703125" style="10" customWidth="1"/>
    <col min="12032" max="12032" width="7.140625" style="10" customWidth="1"/>
    <col min="12033" max="12049" width="8.7109375" style="10" customWidth="1"/>
    <col min="12050" max="12050" width="36.85546875" style="10" customWidth="1"/>
    <col min="12051" max="12057" width="14.28515625" style="10" customWidth="1"/>
    <col min="12058" max="12272" width="9.140625" style="10"/>
    <col min="12273" max="12273" width="38.5703125" style="10" customWidth="1"/>
    <col min="12274" max="12274" width="6.5703125" style="10" customWidth="1"/>
    <col min="12275" max="12275" width="7.7109375" style="10" bestFit="1" customWidth="1"/>
    <col min="12276" max="12276" width="7.28515625" style="10" customWidth="1"/>
    <col min="12277" max="12277" width="6.5703125" style="10" bestFit="1" customWidth="1"/>
    <col min="12278" max="12278" width="7.28515625" style="10" bestFit="1" customWidth="1"/>
    <col min="12279" max="12279" width="8.140625" style="10" customWidth="1"/>
    <col min="12280" max="12280" width="7.140625" style="10" customWidth="1"/>
    <col min="12281" max="12281" width="7.7109375" style="10" bestFit="1" customWidth="1"/>
    <col min="12282" max="12282" width="7.28515625" style="10" customWidth="1"/>
    <col min="12283" max="12283" width="7" style="10" customWidth="1"/>
    <col min="12284" max="12284" width="7.5703125" style="10" customWidth="1"/>
    <col min="12285" max="12285" width="7.140625" style="10" customWidth="1"/>
    <col min="12286" max="12286" width="7" style="10" customWidth="1"/>
    <col min="12287" max="12287" width="7.5703125" style="10" customWidth="1"/>
    <col min="12288" max="12288" width="7.140625" style="10" customWidth="1"/>
    <col min="12289" max="12305" width="8.7109375" style="10" customWidth="1"/>
    <col min="12306" max="12306" width="36.85546875" style="10" customWidth="1"/>
    <col min="12307" max="12313" width="14.28515625" style="10" customWidth="1"/>
    <col min="12314" max="12528" width="9.140625" style="10"/>
    <col min="12529" max="12529" width="38.5703125" style="10" customWidth="1"/>
    <col min="12530" max="12530" width="6.5703125" style="10" customWidth="1"/>
    <col min="12531" max="12531" width="7.7109375" style="10" bestFit="1" customWidth="1"/>
    <col min="12532" max="12532" width="7.28515625" style="10" customWidth="1"/>
    <col min="12533" max="12533" width="6.5703125" style="10" bestFit="1" customWidth="1"/>
    <col min="12534" max="12534" width="7.28515625" style="10" bestFit="1" customWidth="1"/>
    <col min="12535" max="12535" width="8.140625" style="10" customWidth="1"/>
    <col min="12536" max="12536" width="7.140625" style="10" customWidth="1"/>
    <col min="12537" max="12537" width="7.7109375" style="10" bestFit="1" customWidth="1"/>
    <col min="12538" max="12538" width="7.28515625" style="10" customWidth="1"/>
    <col min="12539" max="12539" width="7" style="10" customWidth="1"/>
    <col min="12540" max="12540" width="7.5703125" style="10" customWidth="1"/>
    <col min="12541" max="12541" width="7.140625" style="10" customWidth="1"/>
    <col min="12542" max="12542" width="7" style="10" customWidth="1"/>
    <col min="12543" max="12543" width="7.5703125" style="10" customWidth="1"/>
    <col min="12544" max="12544" width="7.140625" style="10" customWidth="1"/>
    <col min="12545" max="12561" width="8.7109375" style="10" customWidth="1"/>
    <col min="12562" max="12562" width="36.85546875" style="10" customWidth="1"/>
    <col min="12563" max="12569" width="14.28515625" style="10" customWidth="1"/>
    <col min="12570" max="12784" width="9.140625" style="10"/>
    <col min="12785" max="12785" width="38.5703125" style="10" customWidth="1"/>
    <col min="12786" max="12786" width="6.5703125" style="10" customWidth="1"/>
    <col min="12787" max="12787" width="7.7109375" style="10" bestFit="1" customWidth="1"/>
    <col min="12788" max="12788" width="7.28515625" style="10" customWidth="1"/>
    <col min="12789" max="12789" width="6.5703125" style="10" bestFit="1" customWidth="1"/>
    <col min="12790" max="12790" width="7.28515625" style="10" bestFit="1" customWidth="1"/>
    <col min="12791" max="12791" width="8.140625" style="10" customWidth="1"/>
    <col min="12792" max="12792" width="7.140625" style="10" customWidth="1"/>
    <col min="12793" max="12793" width="7.7109375" style="10" bestFit="1" customWidth="1"/>
    <col min="12794" max="12794" width="7.28515625" style="10" customWidth="1"/>
    <col min="12795" max="12795" width="7" style="10" customWidth="1"/>
    <col min="12796" max="12796" width="7.5703125" style="10" customWidth="1"/>
    <col min="12797" max="12797" width="7.140625" style="10" customWidth="1"/>
    <col min="12798" max="12798" width="7" style="10" customWidth="1"/>
    <col min="12799" max="12799" width="7.5703125" style="10" customWidth="1"/>
    <col min="12800" max="12800" width="7.140625" style="10" customWidth="1"/>
    <col min="12801" max="12817" width="8.7109375" style="10" customWidth="1"/>
    <col min="12818" max="12818" width="36.85546875" style="10" customWidth="1"/>
    <col min="12819" max="12825" width="14.28515625" style="10" customWidth="1"/>
    <col min="12826" max="13040" width="9.140625" style="10"/>
    <col min="13041" max="13041" width="38.5703125" style="10" customWidth="1"/>
    <col min="13042" max="13042" width="6.5703125" style="10" customWidth="1"/>
    <col min="13043" max="13043" width="7.7109375" style="10" bestFit="1" customWidth="1"/>
    <col min="13044" max="13044" width="7.28515625" style="10" customWidth="1"/>
    <col min="13045" max="13045" width="6.5703125" style="10" bestFit="1" customWidth="1"/>
    <col min="13046" max="13046" width="7.28515625" style="10" bestFit="1" customWidth="1"/>
    <col min="13047" max="13047" width="8.140625" style="10" customWidth="1"/>
    <col min="13048" max="13048" width="7.140625" style="10" customWidth="1"/>
    <col min="13049" max="13049" width="7.7109375" style="10" bestFit="1" customWidth="1"/>
    <col min="13050" max="13050" width="7.28515625" style="10" customWidth="1"/>
    <col min="13051" max="13051" width="7" style="10" customWidth="1"/>
    <col min="13052" max="13052" width="7.5703125" style="10" customWidth="1"/>
    <col min="13053" max="13053" width="7.140625" style="10" customWidth="1"/>
    <col min="13054" max="13054" width="7" style="10" customWidth="1"/>
    <col min="13055" max="13055" width="7.5703125" style="10" customWidth="1"/>
    <col min="13056" max="13056" width="7.140625" style="10" customWidth="1"/>
    <col min="13057" max="13073" width="8.7109375" style="10" customWidth="1"/>
    <col min="13074" max="13074" width="36.85546875" style="10" customWidth="1"/>
    <col min="13075" max="13081" width="14.28515625" style="10" customWidth="1"/>
    <col min="13082" max="13296" width="9.140625" style="10"/>
    <col min="13297" max="13297" width="38.5703125" style="10" customWidth="1"/>
    <col min="13298" max="13298" width="6.5703125" style="10" customWidth="1"/>
    <col min="13299" max="13299" width="7.7109375" style="10" bestFit="1" customWidth="1"/>
    <col min="13300" max="13300" width="7.28515625" style="10" customWidth="1"/>
    <col min="13301" max="13301" width="6.5703125" style="10" bestFit="1" customWidth="1"/>
    <col min="13302" max="13302" width="7.28515625" style="10" bestFit="1" customWidth="1"/>
    <col min="13303" max="13303" width="8.140625" style="10" customWidth="1"/>
    <col min="13304" max="13304" width="7.140625" style="10" customWidth="1"/>
    <col min="13305" max="13305" width="7.7109375" style="10" bestFit="1" customWidth="1"/>
    <col min="13306" max="13306" width="7.28515625" style="10" customWidth="1"/>
    <col min="13307" max="13307" width="7" style="10" customWidth="1"/>
    <col min="13308" max="13308" width="7.5703125" style="10" customWidth="1"/>
    <col min="13309" max="13309" width="7.140625" style="10" customWidth="1"/>
    <col min="13310" max="13310" width="7" style="10" customWidth="1"/>
    <col min="13311" max="13311" width="7.5703125" style="10" customWidth="1"/>
    <col min="13312" max="13312" width="7.140625" style="10" customWidth="1"/>
    <col min="13313" max="13329" width="8.7109375" style="10" customWidth="1"/>
    <col min="13330" max="13330" width="36.85546875" style="10" customWidth="1"/>
    <col min="13331" max="13337" width="14.28515625" style="10" customWidth="1"/>
    <col min="13338" max="13552" width="9.140625" style="10"/>
    <col min="13553" max="13553" width="38.5703125" style="10" customWidth="1"/>
    <col min="13554" max="13554" width="6.5703125" style="10" customWidth="1"/>
    <col min="13555" max="13555" width="7.7109375" style="10" bestFit="1" customWidth="1"/>
    <col min="13556" max="13556" width="7.28515625" style="10" customWidth="1"/>
    <col min="13557" max="13557" width="6.5703125" style="10" bestFit="1" customWidth="1"/>
    <col min="13558" max="13558" width="7.28515625" style="10" bestFit="1" customWidth="1"/>
    <col min="13559" max="13559" width="8.140625" style="10" customWidth="1"/>
    <col min="13560" max="13560" width="7.140625" style="10" customWidth="1"/>
    <col min="13561" max="13561" width="7.7109375" style="10" bestFit="1" customWidth="1"/>
    <col min="13562" max="13562" width="7.28515625" style="10" customWidth="1"/>
    <col min="13563" max="13563" width="7" style="10" customWidth="1"/>
    <col min="13564" max="13564" width="7.5703125" style="10" customWidth="1"/>
    <col min="13565" max="13565" width="7.140625" style="10" customWidth="1"/>
    <col min="13566" max="13566" width="7" style="10" customWidth="1"/>
    <col min="13567" max="13567" width="7.5703125" style="10" customWidth="1"/>
    <col min="13568" max="13568" width="7.140625" style="10" customWidth="1"/>
    <col min="13569" max="13585" width="8.7109375" style="10" customWidth="1"/>
    <col min="13586" max="13586" width="36.85546875" style="10" customWidth="1"/>
    <col min="13587" max="13593" width="14.28515625" style="10" customWidth="1"/>
    <col min="13594" max="13808" width="9.140625" style="10"/>
    <col min="13809" max="13809" width="38.5703125" style="10" customWidth="1"/>
    <col min="13810" max="13810" width="6.5703125" style="10" customWidth="1"/>
    <col min="13811" max="13811" width="7.7109375" style="10" bestFit="1" customWidth="1"/>
    <col min="13812" max="13812" width="7.28515625" style="10" customWidth="1"/>
    <col min="13813" max="13813" width="6.5703125" style="10" bestFit="1" customWidth="1"/>
    <col min="13814" max="13814" width="7.28515625" style="10" bestFit="1" customWidth="1"/>
    <col min="13815" max="13815" width="8.140625" style="10" customWidth="1"/>
    <col min="13816" max="13816" width="7.140625" style="10" customWidth="1"/>
    <col min="13817" max="13817" width="7.7109375" style="10" bestFit="1" customWidth="1"/>
    <col min="13818" max="13818" width="7.28515625" style="10" customWidth="1"/>
    <col min="13819" max="13819" width="7" style="10" customWidth="1"/>
    <col min="13820" max="13820" width="7.5703125" style="10" customWidth="1"/>
    <col min="13821" max="13821" width="7.140625" style="10" customWidth="1"/>
    <col min="13822" max="13822" width="7" style="10" customWidth="1"/>
    <col min="13823" max="13823" width="7.5703125" style="10" customWidth="1"/>
    <col min="13824" max="13824" width="7.140625" style="10" customWidth="1"/>
    <col min="13825" max="13841" width="8.7109375" style="10" customWidth="1"/>
    <col min="13842" max="13842" width="36.85546875" style="10" customWidth="1"/>
    <col min="13843" max="13849" width="14.28515625" style="10" customWidth="1"/>
    <col min="13850" max="14064" width="9.140625" style="10"/>
    <col min="14065" max="14065" width="38.5703125" style="10" customWidth="1"/>
    <col min="14066" max="14066" width="6.5703125" style="10" customWidth="1"/>
    <col min="14067" max="14067" width="7.7109375" style="10" bestFit="1" customWidth="1"/>
    <col min="14068" max="14068" width="7.28515625" style="10" customWidth="1"/>
    <col min="14069" max="14069" width="6.5703125" style="10" bestFit="1" customWidth="1"/>
    <col min="14070" max="14070" width="7.28515625" style="10" bestFit="1" customWidth="1"/>
    <col min="14071" max="14071" width="8.140625" style="10" customWidth="1"/>
    <col min="14072" max="14072" width="7.140625" style="10" customWidth="1"/>
    <col min="14073" max="14073" width="7.7109375" style="10" bestFit="1" customWidth="1"/>
    <col min="14074" max="14074" width="7.28515625" style="10" customWidth="1"/>
    <col min="14075" max="14075" width="7" style="10" customWidth="1"/>
    <col min="14076" max="14076" width="7.5703125" style="10" customWidth="1"/>
    <col min="14077" max="14077" width="7.140625" style="10" customWidth="1"/>
    <col min="14078" max="14078" width="7" style="10" customWidth="1"/>
    <col min="14079" max="14079" width="7.5703125" style="10" customWidth="1"/>
    <col min="14080" max="14080" width="7.140625" style="10" customWidth="1"/>
    <col min="14081" max="14097" width="8.7109375" style="10" customWidth="1"/>
    <col min="14098" max="14098" width="36.85546875" style="10" customWidth="1"/>
    <col min="14099" max="14105" width="14.28515625" style="10" customWidth="1"/>
    <col min="14106" max="14320" width="9.140625" style="10"/>
    <col min="14321" max="14321" width="38.5703125" style="10" customWidth="1"/>
    <col min="14322" max="14322" width="6.5703125" style="10" customWidth="1"/>
    <col min="14323" max="14323" width="7.7109375" style="10" bestFit="1" customWidth="1"/>
    <col min="14324" max="14324" width="7.28515625" style="10" customWidth="1"/>
    <col min="14325" max="14325" width="6.5703125" style="10" bestFit="1" customWidth="1"/>
    <col min="14326" max="14326" width="7.28515625" style="10" bestFit="1" customWidth="1"/>
    <col min="14327" max="14327" width="8.140625" style="10" customWidth="1"/>
    <col min="14328" max="14328" width="7.140625" style="10" customWidth="1"/>
    <col min="14329" max="14329" width="7.7109375" style="10" bestFit="1" customWidth="1"/>
    <col min="14330" max="14330" width="7.28515625" style="10" customWidth="1"/>
    <col min="14331" max="14331" width="7" style="10" customWidth="1"/>
    <col min="14332" max="14332" width="7.5703125" style="10" customWidth="1"/>
    <col min="14333" max="14333" width="7.140625" style="10" customWidth="1"/>
    <col min="14334" max="14334" width="7" style="10" customWidth="1"/>
    <col min="14335" max="14335" width="7.5703125" style="10" customWidth="1"/>
    <col min="14336" max="14336" width="7.140625" style="10" customWidth="1"/>
    <col min="14337" max="14353" width="8.7109375" style="10" customWidth="1"/>
    <col min="14354" max="14354" width="36.85546875" style="10" customWidth="1"/>
    <col min="14355" max="14361" width="14.28515625" style="10" customWidth="1"/>
    <col min="14362" max="14576" width="9.140625" style="10"/>
    <col min="14577" max="14577" width="38.5703125" style="10" customWidth="1"/>
    <col min="14578" max="14578" width="6.5703125" style="10" customWidth="1"/>
    <col min="14579" max="14579" width="7.7109375" style="10" bestFit="1" customWidth="1"/>
    <col min="14580" max="14580" width="7.28515625" style="10" customWidth="1"/>
    <col min="14581" max="14581" width="6.5703125" style="10" bestFit="1" customWidth="1"/>
    <col min="14582" max="14582" width="7.28515625" style="10" bestFit="1" customWidth="1"/>
    <col min="14583" max="14583" width="8.140625" style="10" customWidth="1"/>
    <col min="14584" max="14584" width="7.140625" style="10" customWidth="1"/>
    <col min="14585" max="14585" width="7.7109375" style="10" bestFit="1" customWidth="1"/>
    <col min="14586" max="14586" width="7.28515625" style="10" customWidth="1"/>
    <col min="14587" max="14587" width="7" style="10" customWidth="1"/>
    <col min="14588" max="14588" width="7.5703125" style="10" customWidth="1"/>
    <col min="14589" max="14589" width="7.140625" style="10" customWidth="1"/>
    <col min="14590" max="14590" width="7" style="10" customWidth="1"/>
    <col min="14591" max="14591" width="7.5703125" style="10" customWidth="1"/>
    <col min="14592" max="14592" width="7.140625" style="10" customWidth="1"/>
    <col min="14593" max="14609" width="8.7109375" style="10" customWidth="1"/>
    <col min="14610" max="14610" width="36.85546875" style="10" customWidth="1"/>
    <col min="14611" max="14617" width="14.28515625" style="10" customWidth="1"/>
    <col min="14618" max="14832" width="9.140625" style="10"/>
    <col min="14833" max="14833" width="38.5703125" style="10" customWidth="1"/>
    <col min="14834" max="14834" width="6.5703125" style="10" customWidth="1"/>
    <col min="14835" max="14835" width="7.7109375" style="10" bestFit="1" customWidth="1"/>
    <col min="14836" max="14836" width="7.28515625" style="10" customWidth="1"/>
    <col min="14837" max="14837" width="6.5703125" style="10" bestFit="1" customWidth="1"/>
    <col min="14838" max="14838" width="7.28515625" style="10" bestFit="1" customWidth="1"/>
    <col min="14839" max="14839" width="8.140625" style="10" customWidth="1"/>
    <col min="14840" max="14840" width="7.140625" style="10" customWidth="1"/>
    <col min="14841" max="14841" width="7.7109375" style="10" bestFit="1" customWidth="1"/>
    <col min="14842" max="14842" width="7.28515625" style="10" customWidth="1"/>
    <col min="14843" max="14843" width="7" style="10" customWidth="1"/>
    <col min="14844" max="14844" width="7.5703125" style="10" customWidth="1"/>
    <col min="14845" max="14845" width="7.140625" style="10" customWidth="1"/>
    <col min="14846" max="14846" width="7" style="10" customWidth="1"/>
    <col min="14847" max="14847" width="7.5703125" style="10" customWidth="1"/>
    <col min="14848" max="14848" width="7.140625" style="10" customWidth="1"/>
    <col min="14849" max="14865" width="8.7109375" style="10" customWidth="1"/>
    <col min="14866" max="14866" width="36.85546875" style="10" customWidth="1"/>
    <col min="14867" max="14873" width="14.28515625" style="10" customWidth="1"/>
    <col min="14874" max="15088" width="9.140625" style="10"/>
    <col min="15089" max="15089" width="38.5703125" style="10" customWidth="1"/>
    <col min="15090" max="15090" width="6.5703125" style="10" customWidth="1"/>
    <col min="15091" max="15091" width="7.7109375" style="10" bestFit="1" customWidth="1"/>
    <col min="15092" max="15092" width="7.28515625" style="10" customWidth="1"/>
    <col min="15093" max="15093" width="6.5703125" style="10" bestFit="1" customWidth="1"/>
    <col min="15094" max="15094" width="7.28515625" style="10" bestFit="1" customWidth="1"/>
    <col min="15095" max="15095" width="8.140625" style="10" customWidth="1"/>
    <col min="15096" max="15096" width="7.140625" style="10" customWidth="1"/>
    <col min="15097" max="15097" width="7.7109375" style="10" bestFit="1" customWidth="1"/>
    <col min="15098" max="15098" width="7.28515625" style="10" customWidth="1"/>
    <col min="15099" max="15099" width="7" style="10" customWidth="1"/>
    <col min="15100" max="15100" width="7.5703125" style="10" customWidth="1"/>
    <col min="15101" max="15101" width="7.140625" style="10" customWidth="1"/>
    <col min="15102" max="15102" width="7" style="10" customWidth="1"/>
    <col min="15103" max="15103" width="7.5703125" style="10" customWidth="1"/>
    <col min="15104" max="15104" width="7.140625" style="10" customWidth="1"/>
    <col min="15105" max="15121" width="8.7109375" style="10" customWidth="1"/>
    <col min="15122" max="15122" width="36.85546875" style="10" customWidth="1"/>
    <col min="15123" max="15129" width="14.28515625" style="10" customWidth="1"/>
    <col min="15130" max="15344" width="9.140625" style="10"/>
    <col min="15345" max="15345" width="38.5703125" style="10" customWidth="1"/>
    <col min="15346" max="15346" width="6.5703125" style="10" customWidth="1"/>
    <col min="15347" max="15347" width="7.7109375" style="10" bestFit="1" customWidth="1"/>
    <col min="15348" max="15348" width="7.28515625" style="10" customWidth="1"/>
    <col min="15349" max="15349" width="6.5703125" style="10" bestFit="1" customWidth="1"/>
    <col min="15350" max="15350" width="7.28515625" style="10" bestFit="1" customWidth="1"/>
    <col min="15351" max="15351" width="8.140625" style="10" customWidth="1"/>
    <col min="15352" max="15352" width="7.140625" style="10" customWidth="1"/>
    <col min="15353" max="15353" width="7.7109375" style="10" bestFit="1" customWidth="1"/>
    <col min="15354" max="15354" width="7.28515625" style="10" customWidth="1"/>
    <col min="15355" max="15355" width="7" style="10" customWidth="1"/>
    <col min="15356" max="15356" width="7.5703125" style="10" customWidth="1"/>
    <col min="15357" max="15357" width="7.140625" style="10" customWidth="1"/>
    <col min="15358" max="15358" width="7" style="10" customWidth="1"/>
    <col min="15359" max="15359" width="7.5703125" style="10" customWidth="1"/>
    <col min="15360" max="15360" width="7.140625" style="10" customWidth="1"/>
    <col min="15361" max="15377" width="8.7109375" style="10" customWidth="1"/>
    <col min="15378" max="15378" width="36.85546875" style="10" customWidth="1"/>
    <col min="15379" max="15385" width="14.28515625" style="10" customWidth="1"/>
    <col min="15386" max="15600" width="9.140625" style="10"/>
    <col min="15601" max="15601" width="38.5703125" style="10" customWidth="1"/>
    <col min="15602" max="15602" width="6.5703125" style="10" customWidth="1"/>
    <col min="15603" max="15603" width="7.7109375" style="10" bestFit="1" customWidth="1"/>
    <col min="15604" max="15604" width="7.28515625" style="10" customWidth="1"/>
    <col min="15605" max="15605" width="6.5703125" style="10" bestFit="1" customWidth="1"/>
    <col min="15606" max="15606" width="7.28515625" style="10" bestFit="1" customWidth="1"/>
    <col min="15607" max="15607" width="8.140625" style="10" customWidth="1"/>
    <col min="15608" max="15608" width="7.140625" style="10" customWidth="1"/>
    <col min="15609" max="15609" width="7.7109375" style="10" bestFit="1" customWidth="1"/>
    <col min="15610" max="15610" width="7.28515625" style="10" customWidth="1"/>
    <col min="15611" max="15611" width="7" style="10" customWidth="1"/>
    <col min="15612" max="15612" width="7.5703125" style="10" customWidth="1"/>
    <col min="15613" max="15613" width="7.140625" style="10" customWidth="1"/>
    <col min="15614" max="15614" width="7" style="10" customWidth="1"/>
    <col min="15615" max="15615" width="7.5703125" style="10" customWidth="1"/>
    <col min="15616" max="15616" width="7.140625" style="10" customWidth="1"/>
    <col min="15617" max="15633" width="8.7109375" style="10" customWidth="1"/>
    <col min="15634" max="15634" width="36.85546875" style="10" customWidth="1"/>
    <col min="15635" max="15641" width="14.28515625" style="10" customWidth="1"/>
    <col min="15642" max="15856" width="9.140625" style="10"/>
    <col min="15857" max="15857" width="38.5703125" style="10" customWidth="1"/>
    <col min="15858" max="15858" width="6.5703125" style="10" customWidth="1"/>
    <col min="15859" max="15859" width="7.7109375" style="10" bestFit="1" customWidth="1"/>
    <col min="15860" max="15860" width="7.28515625" style="10" customWidth="1"/>
    <col min="15861" max="15861" width="6.5703125" style="10" bestFit="1" customWidth="1"/>
    <col min="15862" max="15862" width="7.28515625" style="10" bestFit="1" customWidth="1"/>
    <col min="15863" max="15863" width="8.140625" style="10" customWidth="1"/>
    <col min="15864" max="15864" width="7.140625" style="10" customWidth="1"/>
    <col min="15865" max="15865" width="7.7109375" style="10" bestFit="1" customWidth="1"/>
    <col min="15866" max="15866" width="7.28515625" style="10" customWidth="1"/>
    <col min="15867" max="15867" width="7" style="10" customWidth="1"/>
    <col min="15868" max="15868" width="7.5703125" style="10" customWidth="1"/>
    <col min="15869" max="15869" width="7.140625" style="10" customWidth="1"/>
    <col min="15870" max="15870" width="7" style="10" customWidth="1"/>
    <col min="15871" max="15871" width="7.5703125" style="10" customWidth="1"/>
    <col min="15872" max="15872" width="7.140625" style="10" customWidth="1"/>
    <col min="15873" max="15889" width="8.7109375" style="10" customWidth="1"/>
    <col min="15890" max="15890" width="36.85546875" style="10" customWidth="1"/>
    <col min="15891" max="15897" width="14.28515625" style="10" customWidth="1"/>
    <col min="15898" max="16112" width="9.140625" style="10"/>
    <col min="16113" max="16113" width="38.5703125" style="10" customWidth="1"/>
    <col min="16114" max="16114" width="6.5703125" style="10" customWidth="1"/>
    <col min="16115" max="16115" width="7.7109375" style="10" bestFit="1" customWidth="1"/>
    <col min="16116" max="16116" width="7.28515625" style="10" customWidth="1"/>
    <col min="16117" max="16117" width="6.5703125" style="10" bestFit="1" customWidth="1"/>
    <col min="16118" max="16118" width="7.28515625" style="10" bestFit="1" customWidth="1"/>
    <col min="16119" max="16119" width="8.140625" style="10" customWidth="1"/>
    <col min="16120" max="16120" width="7.140625" style="10" customWidth="1"/>
    <col min="16121" max="16121" width="7.7109375" style="10" bestFit="1" customWidth="1"/>
    <col min="16122" max="16122" width="7.28515625" style="10" customWidth="1"/>
    <col min="16123" max="16123" width="7" style="10" customWidth="1"/>
    <col min="16124" max="16124" width="7.5703125" style="10" customWidth="1"/>
    <col min="16125" max="16125" width="7.140625" style="10" customWidth="1"/>
    <col min="16126" max="16126" width="7" style="10" customWidth="1"/>
    <col min="16127" max="16127" width="7.5703125" style="10" customWidth="1"/>
    <col min="16128" max="16128" width="7.140625" style="10" customWidth="1"/>
    <col min="16129" max="16145" width="8.7109375" style="10" customWidth="1"/>
    <col min="16146" max="16146" width="36.85546875" style="10" customWidth="1"/>
    <col min="16147" max="16153" width="14.28515625" style="10" customWidth="1"/>
    <col min="16154" max="16384" width="9.140625" style="10"/>
  </cols>
  <sheetData>
    <row r="1" spans="1:21" ht="16.5" customHeight="1">
      <c r="N1" s="1530" t="s">
        <v>884</v>
      </c>
      <c r="O1" s="1531"/>
      <c r="P1" s="768"/>
      <c r="Q1" s="768"/>
    </row>
    <row r="2" spans="1:21" ht="42" customHeight="1">
      <c r="A2" s="1406" t="s">
        <v>1097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728"/>
      <c r="Q2" s="728"/>
    </row>
    <row r="3" spans="1:21" ht="11.25" customHeight="1">
      <c r="B3" s="1407"/>
      <c r="C3" s="1407"/>
      <c r="D3" s="1407"/>
      <c r="E3" s="1407"/>
      <c r="F3" s="1407"/>
      <c r="G3" s="1407"/>
      <c r="H3" s="1407"/>
      <c r="I3" s="10"/>
      <c r="J3" s="10"/>
      <c r="K3" s="10"/>
      <c r="L3" s="10"/>
      <c r="M3" s="10"/>
      <c r="N3" s="10"/>
      <c r="O3" s="10"/>
      <c r="P3" s="10"/>
      <c r="Q3" s="10"/>
    </row>
    <row r="4" spans="1:21" s="188" customFormat="1" ht="25.5" customHeight="1">
      <c r="A4" s="183" t="s">
        <v>867</v>
      </c>
      <c r="B4" s="184"/>
      <c r="C4" s="1529" t="s">
        <v>1319</v>
      </c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769"/>
      <c r="Q4" s="769"/>
      <c r="S4" s="763"/>
    </row>
    <row r="5" spans="1:21">
      <c r="B5" s="228"/>
      <c r="C5" s="20"/>
      <c r="D5" s="20"/>
      <c r="E5" s="20"/>
      <c r="F5" s="20"/>
      <c r="G5" s="20"/>
      <c r="H5" s="20"/>
      <c r="I5" s="10"/>
      <c r="J5" s="10"/>
      <c r="K5" s="10"/>
      <c r="L5" s="10"/>
      <c r="M5" s="10"/>
      <c r="N5" s="10"/>
      <c r="O5" s="10"/>
      <c r="P5" s="10"/>
      <c r="Q5" s="10"/>
    </row>
    <row r="6" spans="1:21" s="759" customFormat="1" ht="20.100000000000001" customHeight="1">
      <c r="A6" s="1517" t="s">
        <v>878</v>
      </c>
      <c r="B6" s="1517"/>
      <c r="C6" s="1497" t="s">
        <v>1367</v>
      </c>
      <c r="D6" s="1498"/>
      <c r="E6" s="1498"/>
      <c r="F6" s="1498"/>
      <c r="G6" s="1498"/>
      <c r="H6" s="1498"/>
      <c r="I6" s="1499"/>
      <c r="J6" s="1499"/>
      <c r="K6" s="1499"/>
      <c r="L6" s="1499"/>
      <c r="M6" s="1499"/>
      <c r="N6" s="1499"/>
      <c r="O6" s="1500"/>
      <c r="P6" s="770"/>
      <c r="Q6" s="770"/>
      <c r="S6" s="764"/>
    </row>
    <row r="7" spans="1:21" s="759" customFormat="1" ht="20.100000000000001" customHeight="1">
      <c r="A7" s="1517"/>
      <c r="B7" s="1517"/>
      <c r="C7" s="1501" t="s">
        <v>154</v>
      </c>
      <c r="D7" s="1502" t="s">
        <v>155</v>
      </c>
      <c r="E7" s="1503"/>
      <c r="F7" s="1504" t="s">
        <v>156</v>
      </c>
      <c r="G7" s="1505"/>
      <c r="H7" s="1506"/>
      <c r="I7" s="1507" t="s">
        <v>880</v>
      </c>
      <c r="J7" s="1508"/>
      <c r="K7" s="1509"/>
      <c r="L7" s="1501" t="s">
        <v>136</v>
      </c>
      <c r="M7" s="1502"/>
      <c r="N7" s="1503"/>
      <c r="O7" s="1510" t="s">
        <v>138</v>
      </c>
      <c r="P7" s="771"/>
      <c r="Q7" s="771"/>
      <c r="S7" s="764"/>
    </row>
    <row r="8" spans="1:21" s="759" customFormat="1" ht="39.950000000000003" customHeight="1">
      <c r="A8" s="1517"/>
      <c r="B8" s="1517"/>
      <c r="C8" s="229" t="s">
        <v>882</v>
      </c>
      <c r="D8" s="230" t="s">
        <v>883</v>
      </c>
      <c r="E8" s="24" t="s">
        <v>138</v>
      </c>
      <c r="F8" s="229" t="s">
        <v>882</v>
      </c>
      <c r="G8" s="230" t="s">
        <v>883</v>
      </c>
      <c r="H8" s="24" t="s">
        <v>138</v>
      </c>
      <c r="I8" s="229" t="s">
        <v>882</v>
      </c>
      <c r="J8" s="230" t="s">
        <v>883</v>
      </c>
      <c r="K8" s="24" t="s">
        <v>138</v>
      </c>
      <c r="L8" s="229" t="s">
        <v>882</v>
      </c>
      <c r="M8" s="230" t="s">
        <v>883</v>
      </c>
      <c r="N8" s="24" t="s">
        <v>138</v>
      </c>
      <c r="O8" s="1511"/>
      <c r="P8" s="771"/>
      <c r="Q8" s="771"/>
      <c r="S8" s="1544"/>
      <c r="T8" s="1544"/>
      <c r="U8" s="1544"/>
    </row>
    <row r="9" spans="1:21" ht="15" customHeight="1">
      <c r="A9" s="1518" t="s">
        <v>142</v>
      </c>
      <c r="B9" s="1518"/>
      <c r="C9" s="1519"/>
      <c r="D9" s="1520"/>
      <c r="E9" s="1521"/>
      <c r="F9" s="1522"/>
      <c r="G9" s="1523"/>
      <c r="H9" s="1524"/>
      <c r="I9" s="1519"/>
      <c r="J9" s="1525"/>
      <c r="K9" s="1526"/>
      <c r="L9" s="1519"/>
      <c r="M9" s="1525"/>
      <c r="N9" s="1526"/>
      <c r="O9" s="248"/>
      <c r="P9" s="772"/>
      <c r="Q9" s="772"/>
    </row>
    <row r="10" spans="1:21" s="8" customFormat="1" ht="18.95" customHeight="1">
      <c r="A10" s="755">
        <v>1</v>
      </c>
      <c r="B10" s="750" t="str">
        <f>+'107 (a)'!B10</f>
        <v>Archaeology</v>
      </c>
      <c r="C10" s="756">
        <f>SUM('107(b)'!C10*1.1)</f>
        <v>1.8755000000000002</v>
      </c>
      <c r="D10" s="756">
        <f>SUM('107(b)'!D10*1.1)</f>
        <v>0</v>
      </c>
      <c r="E10" s="756">
        <f>SUM('107(b)'!E10*1.1)</f>
        <v>1.8755000000000002</v>
      </c>
      <c r="F10" s="756">
        <f>SUM('107(b)'!F10*1.1)</f>
        <v>0.18301250000000002</v>
      </c>
      <c r="G10" s="756">
        <f>SUM('107(b)'!G10*1.1)</f>
        <v>0.18301250000000002</v>
      </c>
      <c r="H10" s="756">
        <f>SUM('107(b)'!H10*1.1)</f>
        <v>0.36602500000000004</v>
      </c>
      <c r="I10" s="756">
        <f>SUM('107(b)'!I10*1.1)</f>
        <v>3.9542800000000002</v>
      </c>
      <c r="J10" s="756">
        <f>SUM('107(b)'!J10*1.1)</f>
        <v>0</v>
      </c>
      <c r="K10" s="756">
        <f>SUM('107(b)'!K10*1.1)</f>
        <v>3.9542800000000002</v>
      </c>
      <c r="L10" s="756">
        <f>SUM('107(b)'!L10*1.1)</f>
        <v>1.012</v>
      </c>
      <c r="M10" s="756">
        <f>SUM('107(b)'!M10*1.1)</f>
        <v>0</v>
      </c>
      <c r="N10" s="756">
        <f>SUM('107(b)'!N10*1.1)</f>
        <v>1.012</v>
      </c>
      <c r="O10" s="756">
        <f>SUM('107(b)'!O10*1.1)</f>
        <v>7.2078050000000005</v>
      </c>
      <c r="P10" s="767">
        <v>8.4000000000000005E-2</v>
      </c>
      <c r="Q10" s="767">
        <v>9.1999999999999998E-2</v>
      </c>
      <c r="R10" s="767"/>
      <c r="T10" s="761" t="s">
        <v>1192</v>
      </c>
      <c r="U10" s="572">
        <f>30250/2/1000000</f>
        <v>1.5125E-2</v>
      </c>
    </row>
    <row r="11" spans="1:21" s="8" customFormat="1" ht="18.95" customHeight="1">
      <c r="A11" s="755">
        <v>2</v>
      </c>
      <c r="B11" s="750" t="str">
        <f>+'107 (a)'!B11</f>
        <v>Art &amp; Desig</v>
      </c>
      <c r="C11" s="756">
        <f>SUM('107(b)'!C11*1.1)</f>
        <v>3.7897200000000004</v>
      </c>
      <c r="D11" s="756">
        <f>SUM('107(b)'!D11*1.1)</f>
        <v>0</v>
      </c>
      <c r="E11" s="756">
        <f>SUM('107(b)'!E11*1.1)</f>
        <v>3.7897200000000004</v>
      </c>
      <c r="F11" s="756">
        <f>SUM('107(b)'!F11*1.1)</f>
        <v>0</v>
      </c>
      <c r="G11" s="756">
        <f>SUM('107(b)'!G11*1.1)</f>
        <v>0</v>
      </c>
      <c r="H11" s="756">
        <f>SUM('107(b)'!H11*1.1)</f>
        <v>0</v>
      </c>
      <c r="I11" s="756">
        <f>SUM('107(b)'!I11*1.1)</f>
        <v>0</v>
      </c>
      <c r="J11" s="756">
        <f>SUM('107(b)'!J11*1.1)</f>
        <v>0</v>
      </c>
      <c r="K11" s="756">
        <f>SUM('107(b)'!K11*1.1)</f>
        <v>0</v>
      </c>
      <c r="L11" s="756">
        <f>SUM('107(b)'!L11*1.1)</f>
        <v>0</v>
      </c>
      <c r="M11" s="756">
        <f>SUM('107(b)'!M11*1.1)</f>
        <v>0</v>
      </c>
      <c r="N11" s="756">
        <f>SUM('107(b)'!N11*1.1)</f>
        <v>0</v>
      </c>
      <c r="O11" s="756">
        <f>SUM('107(b)'!O11*1.1)</f>
        <v>3.7897200000000004</v>
      </c>
      <c r="P11" s="767">
        <v>8.4000000000000005E-2</v>
      </c>
      <c r="Q11" s="767">
        <v>9.1999999999999998E-2</v>
      </c>
      <c r="S11" s="761" t="s">
        <v>1193</v>
      </c>
      <c r="T11" s="572">
        <f>41150/2/1000000</f>
        <v>2.0575E-2</v>
      </c>
    </row>
    <row r="12" spans="1:21" s="8" customFormat="1" ht="18.95" customHeight="1">
      <c r="A12" s="755">
        <v>3</v>
      </c>
      <c r="B12" s="750" t="str">
        <f>+'107 (a)'!B12</f>
        <v>English</v>
      </c>
      <c r="C12" s="756">
        <f>SUM('107(b)'!C12*1.1)</f>
        <v>3.0250000000000004</v>
      </c>
      <c r="D12" s="756">
        <f>SUM('107(b)'!D12*1.1)</f>
        <v>0</v>
      </c>
      <c r="E12" s="756">
        <f>SUM('107(b)'!E12*1.1)</f>
        <v>3.0250000000000004</v>
      </c>
      <c r="F12" s="756">
        <f>SUM('107(b)'!F12*1.1)</f>
        <v>1.7968500000000001</v>
      </c>
      <c r="G12" s="756">
        <f>SUM('107(b)'!G12*1.1)</f>
        <v>1.7968500000000001</v>
      </c>
      <c r="H12" s="756">
        <f>SUM('107(b)'!H12*1.1)</f>
        <v>3.5937000000000001</v>
      </c>
      <c r="I12" s="756">
        <f>SUM('107(b)'!I12*1.1)</f>
        <v>1.8480000000000003</v>
      </c>
      <c r="J12" s="756">
        <f>SUM('107(b)'!J12*1.1)</f>
        <v>0</v>
      </c>
      <c r="K12" s="756">
        <f>SUM('107(b)'!K12*1.1)</f>
        <v>1.8480000000000003</v>
      </c>
      <c r="L12" s="756">
        <f>SUM('107(b)'!L12*1.1)</f>
        <v>1.012</v>
      </c>
      <c r="M12" s="756">
        <f>SUM('107(b)'!M12*1.1)</f>
        <v>0</v>
      </c>
      <c r="N12" s="756">
        <f>SUM('107(b)'!N12*1.1)</f>
        <v>1.012</v>
      </c>
      <c r="O12" s="756">
        <f>SUM('107(b)'!O12*1.1)</f>
        <v>9.4786999999999999</v>
      </c>
      <c r="P12" s="767">
        <v>8.4000000000000005E-2</v>
      </c>
      <c r="Q12" s="767">
        <v>9.1999999999999998E-2</v>
      </c>
      <c r="S12" s="761" t="s">
        <v>1194</v>
      </c>
      <c r="T12" s="572">
        <f>36300/2/1000000</f>
        <v>1.8149999999999999E-2</v>
      </c>
    </row>
    <row r="13" spans="1:21" s="8" customFormat="1" ht="18.95" customHeight="1">
      <c r="A13" s="755">
        <v>4</v>
      </c>
      <c r="B13" s="750" t="str">
        <f>+'107 (a)'!B13</f>
        <v>History</v>
      </c>
      <c r="C13" s="756">
        <f>SUM('107(b)'!C13*1.1)</f>
        <v>0</v>
      </c>
      <c r="D13" s="756">
        <f>SUM('107(b)'!D13*1.1)</f>
        <v>0</v>
      </c>
      <c r="E13" s="756">
        <f>SUM('107(b)'!E13*1.1)</f>
        <v>0</v>
      </c>
      <c r="F13" s="756">
        <f>SUM('107(b)'!F13*1.1)</f>
        <v>0.34938750000000002</v>
      </c>
      <c r="G13" s="756">
        <f>SUM('107(b)'!G13*1.1)</f>
        <v>0.34938750000000002</v>
      </c>
      <c r="H13" s="756">
        <f>SUM('107(b)'!H13*1.1)</f>
        <v>0.69877500000000003</v>
      </c>
      <c r="I13" s="756">
        <f>SUM('107(b)'!I13*1.1)</f>
        <v>0.36960000000000004</v>
      </c>
      <c r="J13" s="756">
        <f>SUM('107(b)'!J13*1.1)</f>
        <v>0</v>
      </c>
      <c r="K13" s="756">
        <f>SUM('107(b)'!K13*1.1)</f>
        <v>0.36960000000000004</v>
      </c>
      <c r="L13" s="756">
        <f>SUM('107(b)'!L13*1.1)</f>
        <v>0.10120000000000001</v>
      </c>
      <c r="M13" s="756">
        <f>SUM('107(b)'!M13*1.1)</f>
        <v>0</v>
      </c>
      <c r="N13" s="756">
        <f>SUM('107(b)'!N13*1.1)</f>
        <v>0.10120000000000001</v>
      </c>
      <c r="O13" s="756">
        <f>SUM('107(b)'!O13*1.1)</f>
        <v>1.169575</v>
      </c>
      <c r="P13" s="767">
        <v>8.4000000000000005E-2</v>
      </c>
      <c r="Q13" s="767">
        <v>9.1999999999999998E-2</v>
      </c>
      <c r="S13" s="761" t="s">
        <v>1195</v>
      </c>
      <c r="T13" s="572">
        <f>30250/2/1000000</f>
        <v>1.5125E-2</v>
      </c>
    </row>
    <row r="14" spans="1:21" s="8" customFormat="1" ht="18.95" customHeight="1">
      <c r="A14" s="755">
        <v>5</v>
      </c>
      <c r="B14" s="750" t="str">
        <f>+'107 (a)'!B14</f>
        <v>Hotel &amp; Tourism Mang</v>
      </c>
      <c r="C14" s="756">
        <f>SUM('107(b)'!C14*1.1)</f>
        <v>0</v>
      </c>
      <c r="D14" s="756">
        <f>SUM('107(b)'!D14*1.1)</f>
        <v>0</v>
      </c>
      <c r="E14" s="756">
        <f>SUM('107(b)'!E14*1.1)</f>
        <v>0</v>
      </c>
      <c r="F14" s="756">
        <f>SUM('107(b)'!F14*1.1)</f>
        <v>0</v>
      </c>
      <c r="G14" s="756">
        <f>SUM('107(b)'!G14*1.1)</f>
        <v>0</v>
      </c>
      <c r="H14" s="756">
        <f>SUM('107(b)'!H14*1.1)</f>
        <v>0</v>
      </c>
      <c r="I14" s="756">
        <f>SUM('107(b)'!I14*1.1)</f>
        <v>0</v>
      </c>
      <c r="J14" s="756">
        <f>SUM('107(b)'!J14*1.1)</f>
        <v>0</v>
      </c>
      <c r="K14" s="756">
        <f>SUM('107(b)'!K14*1.1)</f>
        <v>0</v>
      </c>
      <c r="L14" s="756">
        <f>SUM('107(b)'!L14*1.1)</f>
        <v>0</v>
      </c>
      <c r="M14" s="756">
        <f>SUM('107(b)'!M14*1.1)</f>
        <v>0</v>
      </c>
      <c r="N14" s="756">
        <f>SUM('107(b)'!N14*1.1)</f>
        <v>0</v>
      </c>
      <c r="O14" s="756">
        <f>SUM('107(b)'!O14*1.1)</f>
        <v>0</v>
      </c>
      <c r="P14" s="767">
        <v>8.4000000000000005E-2</v>
      </c>
      <c r="Q14" s="767">
        <v>9.1999999999999998E-2</v>
      </c>
      <c r="S14" s="761" t="s">
        <v>1196</v>
      </c>
      <c r="T14" s="572">
        <f>27800/2/1000000</f>
        <v>1.3899999999999999E-2</v>
      </c>
    </row>
    <row r="15" spans="1:21" s="8" customFormat="1" ht="18.95" customHeight="1">
      <c r="A15" s="755">
        <v>6</v>
      </c>
      <c r="B15" s="750" t="str">
        <f>+'107 (a)'!B15</f>
        <v>Philosophy</v>
      </c>
      <c r="C15" s="756">
        <f>SUM('107(b)'!C15*1.1)</f>
        <v>0</v>
      </c>
      <c r="D15" s="756">
        <f>SUM('107(b)'!D15*1.1)</f>
        <v>0</v>
      </c>
      <c r="E15" s="756">
        <f>SUM('107(b)'!E15*1.1)</f>
        <v>0</v>
      </c>
      <c r="F15" s="756">
        <f>SUM('107(b)'!F15*1.1)</f>
        <v>0.13761000000000001</v>
      </c>
      <c r="G15" s="756">
        <f>SUM('107(b)'!G15*1.1)</f>
        <v>0.13761000000000001</v>
      </c>
      <c r="H15" s="756">
        <f>SUM('107(b)'!H15*1.1)</f>
        <v>0.27522000000000002</v>
      </c>
      <c r="I15" s="756">
        <f>SUM('107(b)'!I15*1.1)</f>
        <v>0</v>
      </c>
      <c r="J15" s="756">
        <f>SUM('107(b)'!J15*1.1)</f>
        <v>0</v>
      </c>
      <c r="K15" s="756">
        <f>SUM('107(b)'!K15*1.1)</f>
        <v>0</v>
      </c>
      <c r="L15" s="756">
        <f>SUM('107(b)'!L15*1.1)</f>
        <v>0</v>
      </c>
      <c r="M15" s="756">
        <f>SUM('107(b)'!M15*1.1)</f>
        <v>0</v>
      </c>
      <c r="N15" s="756">
        <f>SUM('107(b)'!N15*1.1)</f>
        <v>0</v>
      </c>
      <c r="O15" s="756">
        <f>SUM('107(b)'!O15*1.1)</f>
        <v>0.27522000000000002</v>
      </c>
      <c r="P15" s="767">
        <v>8.4000000000000005E-2</v>
      </c>
      <c r="Q15" s="767">
        <v>9.1999999999999998E-2</v>
      </c>
      <c r="S15" s="765"/>
    </row>
    <row r="16" spans="1:21" ht="20.100000000000001" customHeight="1">
      <c r="A16" s="1541" t="s">
        <v>893</v>
      </c>
      <c r="B16" s="1541"/>
      <c r="C16" s="758">
        <f>SUM(C10:C15)</f>
        <v>8.6902200000000001</v>
      </c>
      <c r="D16" s="758">
        <f t="shared" ref="D16:O16" si="0">SUM(D10:D15)</f>
        <v>0</v>
      </c>
      <c r="E16" s="758">
        <f t="shared" si="0"/>
        <v>8.6902200000000001</v>
      </c>
      <c r="F16" s="758">
        <f t="shared" si="0"/>
        <v>2.4668600000000001</v>
      </c>
      <c r="G16" s="758">
        <f t="shared" si="0"/>
        <v>2.4668600000000001</v>
      </c>
      <c r="H16" s="758">
        <f t="shared" si="0"/>
        <v>4.9337200000000001</v>
      </c>
      <c r="I16" s="758">
        <f t="shared" si="0"/>
        <v>6.1718800000000007</v>
      </c>
      <c r="J16" s="758">
        <f t="shared" si="0"/>
        <v>0</v>
      </c>
      <c r="K16" s="758">
        <f t="shared" si="0"/>
        <v>6.1718800000000007</v>
      </c>
      <c r="L16" s="758">
        <f t="shared" si="0"/>
        <v>2.1252</v>
      </c>
      <c r="M16" s="758">
        <f t="shared" si="0"/>
        <v>0</v>
      </c>
      <c r="N16" s="758">
        <f t="shared" si="0"/>
        <v>2.1252</v>
      </c>
      <c r="O16" s="758">
        <f t="shared" si="0"/>
        <v>21.921020000000002</v>
      </c>
      <c r="P16" s="767">
        <v>8.4000000000000005E-2</v>
      </c>
      <c r="Q16" s="767">
        <v>9.1999999999999998E-2</v>
      </c>
    </row>
    <row r="17" spans="1:20" ht="15" customHeight="1">
      <c r="A17" s="1534" t="s">
        <v>147</v>
      </c>
      <c r="B17" s="1535"/>
      <c r="C17" s="748"/>
      <c r="D17" s="748"/>
      <c r="E17" s="749"/>
      <c r="F17" s="748"/>
      <c r="G17" s="748"/>
      <c r="H17" s="749"/>
      <c r="I17" s="748"/>
      <c r="J17" s="748"/>
      <c r="K17" s="749"/>
      <c r="L17" s="748"/>
      <c r="M17" s="748"/>
      <c r="N17" s="749"/>
      <c r="O17" s="748"/>
      <c r="P17" s="767">
        <v>8.4000000000000005E-2</v>
      </c>
      <c r="Q17" s="767">
        <v>9.1999999999999998E-2</v>
      </c>
    </row>
    <row r="18" spans="1:20" s="8" customFormat="1" ht="18.95" customHeight="1">
      <c r="A18" s="755">
        <v>1</v>
      </c>
      <c r="B18" s="750" t="str">
        <f>+'107 (a)'!B18</f>
        <v>Economics</v>
      </c>
      <c r="C18" s="756">
        <f>SUM('107(b)'!C18*1.1)</f>
        <v>14.786200000000001</v>
      </c>
      <c r="D18" s="756">
        <f>SUM('107(b)'!D18*1.1)</f>
        <v>0</v>
      </c>
      <c r="E18" s="756">
        <f>SUM('107(b)'!E18*1.1)</f>
        <v>14.786200000000001</v>
      </c>
      <c r="F18" s="756">
        <f>SUM('107(b)'!F18*1.1)</f>
        <v>2.55552</v>
      </c>
      <c r="G18" s="756">
        <f>SUM('107(b)'!G18*1.1)</f>
        <v>2.55552</v>
      </c>
      <c r="H18" s="756">
        <f>SUM('107(b)'!H18*1.1)</f>
        <v>5.11104</v>
      </c>
      <c r="I18" s="756">
        <f>SUM('107(b)'!I18*1.1)</f>
        <v>9.424800000000003</v>
      </c>
      <c r="J18" s="756">
        <f>SUM('107(b)'!J18*1.1)</f>
        <v>0</v>
      </c>
      <c r="K18" s="756">
        <f>SUM('107(b)'!K18*1.1)</f>
        <v>9.424800000000003</v>
      </c>
      <c r="L18" s="756">
        <f>SUM('107(b)'!L18*1.1)</f>
        <v>6.0720000000000001</v>
      </c>
      <c r="M18" s="756">
        <f>SUM('107(b)'!M18*1.1)</f>
        <v>0</v>
      </c>
      <c r="N18" s="756">
        <f>SUM('107(b)'!N18*1.1)</f>
        <v>6.0720000000000001</v>
      </c>
      <c r="O18" s="756">
        <f>SUM('107(b)'!O18*1.1)</f>
        <v>35.394040000000004</v>
      </c>
      <c r="P18" s="767">
        <v>8.4000000000000005E-2</v>
      </c>
      <c r="Q18" s="767">
        <v>9.1999999999999998E-2</v>
      </c>
      <c r="S18" s="761" t="s">
        <v>1198</v>
      </c>
      <c r="T18" s="572">
        <f t="shared" ref="T18:T20" si="1">30250/2/1000000</f>
        <v>1.5125E-2</v>
      </c>
    </row>
    <row r="19" spans="1:20" s="8" customFormat="1" ht="18.95" customHeight="1">
      <c r="A19" s="755">
        <v>2</v>
      </c>
      <c r="B19" s="750" t="str">
        <f>+'107 (a)'!B19</f>
        <v>I.E.R.</v>
      </c>
      <c r="C19" s="756">
        <f>SUM('107(b)'!C19*1.1)</f>
        <v>6.1661600000000005</v>
      </c>
      <c r="D19" s="756">
        <f>SUM('107(b)'!D19*1.1)</f>
        <v>0</v>
      </c>
      <c r="E19" s="756">
        <f>SUM('107(b)'!E19*1.1)</f>
        <v>6.1661600000000005</v>
      </c>
      <c r="F19" s="756">
        <f>SUM('107(b)'!F19*1.1)</f>
        <v>2.9282000000000004</v>
      </c>
      <c r="G19" s="756">
        <f>SUM('107(b)'!G19*1.1)</f>
        <v>2.9282000000000004</v>
      </c>
      <c r="H19" s="756">
        <f>SUM('107(b)'!H19*1.1)</f>
        <v>5.8564000000000007</v>
      </c>
      <c r="I19" s="756">
        <f>SUM('107(b)'!I19*1.1)</f>
        <v>1.8480000000000003</v>
      </c>
      <c r="J19" s="756">
        <f>SUM('107(b)'!J19*1.1)</f>
        <v>0</v>
      </c>
      <c r="K19" s="756">
        <f>SUM('107(b)'!K19*1.1)</f>
        <v>1.8480000000000003</v>
      </c>
      <c r="L19" s="756">
        <f>SUM('107(b)'!L19*1.1)</f>
        <v>5.3636000000000008</v>
      </c>
      <c r="M19" s="756">
        <f>SUM('107(b)'!M19*1.1)</f>
        <v>0</v>
      </c>
      <c r="N19" s="756">
        <f>SUM('107(b)'!N19*1.1)</f>
        <v>5.3636000000000008</v>
      </c>
      <c r="O19" s="756">
        <f>SUM('107(b)'!O19*1.1)</f>
        <v>19.234160000000003</v>
      </c>
      <c r="P19" s="767">
        <v>8.4000000000000005E-2</v>
      </c>
      <c r="Q19" s="767">
        <v>9.1999999999999998E-2</v>
      </c>
      <c r="S19" s="761" t="s">
        <v>1199</v>
      </c>
      <c r="T19" s="572">
        <f t="shared" si="1"/>
        <v>1.5125E-2</v>
      </c>
    </row>
    <row r="20" spans="1:20" s="8" customFormat="1" ht="18.95" customHeight="1">
      <c r="A20" s="755">
        <v>3</v>
      </c>
      <c r="B20" s="750" t="str">
        <f>+'107 (a)'!B20</f>
        <v>IPCS</v>
      </c>
      <c r="C20" s="756">
        <f>SUM('107(b)'!C20*1.1)</f>
        <v>1.8755000000000002</v>
      </c>
      <c r="D20" s="756">
        <f>SUM('107(b)'!D20*1.1)</f>
        <v>0</v>
      </c>
      <c r="E20" s="756">
        <f>SUM('107(b)'!E20*1.1)</f>
        <v>1.8755000000000002</v>
      </c>
      <c r="F20" s="756">
        <f>SUM('107(b)'!F20*1.1)</f>
        <v>1.40602</v>
      </c>
      <c r="G20" s="756">
        <f>SUM('107(b)'!G20*1.1)</f>
        <v>1.40602</v>
      </c>
      <c r="H20" s="756">
        <f>SUM('107(b)'!H20*1.1)</f>
        <v>2.8120400000000001</v>
      </c>
      <c r="I20" s="756">
        <f>SUM('107(b)'!I20*1.1)</f>
        <v>0</v>
      </c>
      <c r="J20" s="756">
        <f>SUM('107(b)'!J20*1.1)</f>
        <v>0</v>
      </c>
      <c r="K20" s="756">
        <f>SUM('107(b)'!K20*1.1)</f>
        <v>0</v>
      </c>
      <c r="L20" s="756">
        <f>SUM('107(b)'!L20*1.1)</f>
        <v>0</v>
      </c>
      <c r="M20" s="756">
        <f>SUM('107(b)'!M20*1.1)</f>
        <v>0</v>
      </c>
      <c r="N20" s="756">
        <f>SUM('107(b)'!N20*1.1)</f>
        <v>0</v>
      </c>
      <c r="O20" s="756">
        <f>SUM('107(b)'!O20*1.1)</f>
        <v>4.6875400000000003</v>
      </c>
      <c r="P20" s="767">
        <v>8.4000000000000005E-2</v>
      </c>
      <c r="Q20" s="767">
        <v>9.1999999999999998E-2</v>
      </c>
      <c r="S20" s="761" t="s">
        <v>1200</v>
      </c>
      <c r="T20" s="572">
        <f t="shared" si="1"/>
        <v>1.5125E-2</v>
      </c>
    </row>
    <row r="21" spans="1:20" s="8" customFormat="1" ht="18.95" customHeight="1">
      <c r="A21" s="755">
        <v>4</v>
      </c>
      <c r="B21" s="750" t="str">
        <f>+'107 (a)'!B21</f>
        <v>International Relations</v>
      </c>
      <c r="C21" s="756">
        <f>SUM('107(b)'!C21*1.1)</f>
        <v>9.6993600000000022</v>
      </c>
      <c r="D21" s="756">
        <f>SUM('107(b)'!D21*1.1)</f>
        <v>0</v>
      </c>
      <c r="E21" s="756">
        <f>SUM('107(b)'!E21*1.1)</f>
        <v>9.6993600000000022</v>
      </c>
      <c r="F21" s="756">
        <f>SUM('107(b)'!F21*1.1)</f>
        <v>2.1961500000000003</v>
      </c>
      <c r="G21" s="756">
        <f>SUM('107(b)'!G21*1.1)</f>
        <v>2.1961500000000003</v>
      </c>
      <c r="H21" s="756">
        <f>SUM('107(b)'!H21*1.1)</f>
        <v>4.3923000000000005</v>
      </c>
      <c r="I21" s="756">
        <f>SUM('107(b)'!I21*1.1)</f>
        <v>0.64680000000000015</v>
      </c>
      <c r="J21" s="756">
        <f>SUM('107(b)'!J21*1.1)</f>
        <v>0</v>
      </c>
      <c r="K21" s="756">
        <f>SUM('107(b)'!K21*1.1)</f>
        <v>0.64680000000000015</v>
      </c>
      <c r="L21" s="756">
        <f>SUM('107(b)'!L21*1.1)</f>
        <v>0.30360000000000004</v>
      </c>
      <c r="M21" s="756">
        <f>SUM('107(b)'!M21*1.1)</f>
        <v>0</v>
      </c>
      <c r="N21" s="756">
        <f>SUM('107(b)'!N21*1.1)</f>
        <v>0.30360000000000004</v>
      </c>
      <c r="O21" s="756">
        <f>SUM('107(b)'!O21*1.1)</f>
        <v>15.042060000000003</v>
      </c>
      <c r="P21" s="767">
        <v>8.4000000000000005E-2</v>
      </c>
      <c r="Q21" s="767">
        <v>9.1999999999999998E-2</v>
      </c>
      <c r="S21" s="761" t="s">
        <v>1201</v>
      </c>
      <c r="T21" s="576">
        <f>27800/2/1000000</f>
        <v>1.3899999999999999E-2</v>
      </c>
    </row>
    <row r="22" spans="1:20" s="8" customFormat="1" ht="18.95" customHeight="1">
      <c r="A22" s="755">
        <v>5</v>
      </c>
      <c r="B22" s="750" t="str">
        <f>+'107 (a)'!B22</f>
        <v>Gender Studies</v>
      </c>
      <c r="C22" s="756">
        <f>SUM('107(b)'!C22*1.1)</f>
        <v>2.9040000000000004</v>
      </c>
      <c r="D22" s="756">
        <f>SUM('107(b)'!D22*1.1)</f>
        <v>0</v>
      </c>
      <c r="E22" s="756">
        <f>SUM('107(b)'!E22*1.1)</f>
        <v>2.9040000000000004</v>
      </c>
      <c r="F22" s="756">
        <f>SUM('107(b)'!F22*1.1)</f>
        <v>0.23380500000000001</v>
      </c>
      <c r="G22" s="756">
        <f>SUM('107(b)'!G22*1.1)</f>
        <v>0.23380500000000001</v>
      </c>
      <c r="H22" s="756">
        <f>SUM('107(b)'!H22*1.1)</f>
        <v>0.46761000000000003</v>
      </c>
      <c r="I22" s="756">
        <f>SUM('107(b)'!I22*1.1)</f>
        <v>0.64680000000000015</v>
      </c>
      <c r="J22" s="756">
        <f>SUM('107(b)'!J22*1.1)</f>
        <v>0</v>
      </c>
      <c r="K22" s="756">
        <f>SUM('107(b)'!K22*1.1)</f>
        <v>0.64680000000000015</v>
      </c>
      <c r="L22" s="756">
        <f>SUM('107(b)'!L22*1.1)</f>
        <v>0.10120000000000001</v>
      </c>
      <c r="M22" s="756">
        <f>SUM('107(b)'!M22*1.1)</f>
        <v>0</v>
      </c>
      <c r="N22" s="756">
        <f>SUM('107(b)'!N22*1.1)</f>
        <v>0.10120000000000001</v>
      </c>
      <c r="O22" s="756">
        <f>SUM('107(b)'!O22*1.1)</f>
        <v>4.1196100000000007</v>
      </c>
      <c r="P22" s="767">
        <v>8.4000000000000005E-2</v>
      </c>
      <c r="Q22" s="767">
        <v>9.1999999999999998E-2</v>
      </c>
      <c r="S22" s="761" t="s">
        <v>1202</v>
      </c>
      <c r="T22" s="572">
        <f>30250/2/1000000</f>
        <v>1.5125E-2</v>
      </c>
    </row>
    <row r="23" spans="1:20" s="8" customFormat="1" ht="18.95" customHeight="1">
      <c r="A23" s="755">
        <v>6</v>
      </c>
      <c r="B23" s="750" t="str">
        <f>+'107 (a)'!B23</f>
        <v>Law College</v>
      </c>
      <c r="C23" s="756">
        <f>SUM('107(b)'!C23*1.1)</f>
        <v>7.4874800000000006</v>
      </c>
      <c r="D23" s="756">
        <f>SUM('107(b)'!D23*1.1)</f>
        <v>0</v>
      </c>
      <c r="E23" s="756">
        <f>SUM('107(b)'!E23*1.1)</f>
        <v>7.4874800000000006</v>
      </c>
      <c r="F23" s="756">
        <f>SUM('107(b)'!F23*1.1)</f>
        <v>4.518745</v>
      </c>
      <c r="G23" s="756">
        <f>SUM('107(b)'!G23*1.1)</f>
        <v>4.518745</v>
      </c>
      <c r="H23" s="756">
        <f>SUM('107(b)'!H23*1.1)</f>
        <v>9.03749</v>
      </c>
      <c r="I23" s="756">
        <f>SUM('107(b)'!I23*1.1)</f>
        <v>0.46200000000000008</v>
      </c>
      <c r="J23" s="756">
        <f>SUM('107(b)'!J23*1.1)</f>
        <v>0</v>
      </c>
      <c r="K23" s="756">
        <f>SUM('107(b)'!K23*1.1)</f>
        <v>0.46200000000000008</v>
      </c>
      <c r="L23" s="756">
        <f>SUM('107(b)'!L23*1.1)</f>
        <v>1.012</v>
      </c>
      <c r="M23" s="756">
        <f>SUM('107(b)'!M23*1.1)</f>
        <v>0</v>
      </c>
      <c r="N23" s="756">
        <f>SUM('107(b)'!N23*1.1)</f>
        <v>1.012</v>
      </c>
      <c r="O23" s="756">
        <f>SUM('107(b)'!O23*1.1)</f>
        <v>17.998970000000003</v>
      </c>
      <c r="P23" s="767">
        <v>8.4000000000000005E-2</v>
      </c>
      <c r="Q23" s="767">
        <v>9.1999999999999998E-2</v>
      </c>
      <c r="S23" s="765"/>
    </row>
    <row r="24" spans="1:20" s="8" customFormat="1" ht="18.95" customHeight="1">
      <c r="A24" s="755">
        <v>7</v>
      </c>
      <c r="B24" s="750" t="str">
        <f>+'107 (a)'!B24</f>
        <v>Political Science</v>
      </c>
      <c r="C24" s="756">
        <f>SUM('107(b)'!C24*1.1)</f>
        <v>9.7405000000000008</v>
      </c>
      <c r="D24" s="756">
        <f>SUM('107(b)'!D24*1.1)</f>
        <v>0</v>
      </c>
      <c r="E24" s="756">
        <f>SUM('107(b)'!E24*1.1)</f>
        <v>9.7405000000000008</v>
      </c>
      <c r="F24" s="756">
        <f>SUM('107(b)'!F24*1.1)</f>
        <v>2.47566</v>
      </c>
      <c r="G24" s="756">
        <f>SUM('107(b)'!G24*1.1)</f>
        <v>2.47566</v>
      </c>
      <c r="H24" s="756">
        <f>SUM('107(b)'!H24*1.1)</f>
        <v>4.9513199999999999</v>
      </c>
      <c r="I24" s="756">
        <f>SUM('107(b)'!I24*1.1)</f>
        <v>7.3920000000000012</v>
      </c>
      <c r="J24" s="756">
        <f>SUM('107(b)'!J24*1.1)</f>
        <v>0</v>
      </c>
      <c r="K24" s="756">
        <f>SUM('107(b)'!K24*1.1)</f>
        <v>7.3920000000000012</v>
      </c>
      <c r="L24" s="756">
        <f>SUM('107(b)'!L24*1.1)</f>
        <v>3.036</v>
      </c>
      <c r="M24" s="756">
        <f>SUM('107(b)'!M24*1.1)</f>
        <v>0</v>
      </c>
      <c r="N24" s="756">
        <f>SUM('107(b)'!N24*1.1)</f>
        <v>3.036</v>
      </c>
      <c r="O24" s="756">
        <f>SUM('107(b)'!O24*1.1)</f>
        <v>25.119820000000001</v>
      </c>
      <c r="P24" s="767">
        <v>8.4000000000000005E-2</v>
      </c>
      <c r="Q24" s="767">
        <v>9.1999999999999998E-2</v>
      </c>
      <c r="S24" s="761" t="s">
        <v>1204</v>
      </c>
      <c r="T24" s="576">
        <f>48400/2/1000000</f>
        <v>2.4199999999999999E-2</v>
      </c>
    </row>
    <row r="25" spans="1:20" s="8" customFormat="1" ht="18.95" customHeight="1">
      <c r="A25" s="755">
        <v>8</v>
      </c>
      <c r="B25" s="750" t="str">
        <f>+'107 (a)'!B25</f>
        <v>Psychology</v>
      </c>
      <c r="C25" s="756">
        <f>SUM('107(b)'!C25*1.1)</f>
        <v>10.345499999999999</v>
      </c>
      <c r="D25" s="756">
        <f>SUM('107(b)'!D25*1.1)</f>
        <v>0</v>
      </c>
      <c r="E25" s="756">
        <f>SUM('107(b)'!E25*1.1)</f>
        <v>10.345499999999999</v>
      </c>
      <c r="F25" s="756">
        <f>SUM('107(b)'!F25*1.1)</f>
        <v>1.5140125</v>
      </c>
      <c r="G25" s="756">
        <f>SUM('107(b)'!G25*1.1)</f>
        <v>1.5140125</v>
      </c>
      <c r="H25" s="756">
        <f>SUM('107(b)'!H25*1.1)</f>
        <v>3.028025</v>
      </c>
      <c r="I25" s="756">
        <f>SUM('107(b)'!I25*1.1)</f>
        <v>2.4948000000000006</v>
      </c>
      <c r="J25" s="756">
        <f>SUM('107(b)'!J25*1.1)</f>
        <v>0</v>
      </c>
      <c r="K25" s="756">
        <f>SUM('107(b)'!K25*1.1)</f>
        <v>2.4948000000000006</v>
      </c>
      <c r="L25" s="756">
        <f>SUM('107(b)'!L25*1.1)</f>
        <v>1.012</v>
      </c>
      <c r="M25" s="756">
        <f>SUM('107(b)'!M25*1.1)</f>
        <v>0</v>
      </c>
      <c r="N25" s="756">
        <f>SUM('107(b)'!N25*1.1)</f>
        <v>1.012</v>
      </c>
      <c r="O25" s="756">
        <f>SUM('107(b)'!O25*1.1)</f>
        <v>16.880325000000003</v>
      </c>
      <c r="P25" s="767">
        <v>8.4000000000000005E-2</v>
      </c>
      <c r="Q25" s="767">
        <v>9.1999999999999998E-2</v>
      </c>
      <c r="S25" s="761" t="s">
        <v>1205</v>
      </c>
      <c r="T25" s="576">
        <f>50800/1000000/2</f>
        <v>2.5399999999999999E-2</v>
      </c>
    </row>
    <row r="26" spans="1:20" s="8" customFormat="1" ht="18.95" customHeight="1">
      <c r="A26" s="755">
        <v>9</v>
      </c>
      <c r="B26" s="750" t="str">
        <f>+'107 (a)'!B26</f>
        <v>Regional Studies</v>
      </c>
      <c r="C26" s="756">
        <f>SUM('107(b)'!C26*1.1)</f>
        <v>0</v>
      </c>
      <c r="D26" s="756">
        <f>SUM('107(b)'!D26*1.1)</f>
        <v>0</v>
      </c>
      <c r="E26" s="756">
        <f>SUM('107(b)'!E26*1.1)</f>
        <v>0</v>
      </c>
      <c r="F26" s="756">
        <f>SUM('107(b)'!F26*1.1)</f>
        <v>0.33940500000000001</v>
      </c>
      <c r="G26" s="756">
        <f>SUM('107(b)'!G26*1.1)</f>
        <v>0.33940500000000001</v>
      </c>
      <c r="H26" s="756">
        <f>SUM('107(b)'!H26*1.1)</f>
        <v>0.67881000000000002</v>
      </c>
      <c r="I26" s="756">
        <f>SUM('107(b)'!I26*1.1)</f>
        <v>1.5708000000000002</v>
      </c>
      <c r="J26" s="756">
        <f>SUM('107(b)'!J26*1.1)</f>
        <v>0</v>
      </c>
      <c r="K26" s="756">
        <f>SUM('107(b)'!K26*1.1)</f>
        <v>1.5708000000000002</v>
      </c>
      <c r="L26" s="756">
        <f>SUM('107(b)'!L26*1.1)</f>
        <v>0</v>
      </c>
      <c r="M26" s="756">
        <f>SUM('107(b)'!M26*1.1)</f>
        <v>0</v>
      </c>
      <c r="N26" s="756">
        <f>SUM('107(b)'!N26*1.1)</f>
        <v>0</v>
      </c>
      <c r="O26" s="756">
        <f>SUM('107(b)'!O26*1.1)</f>
        <v>2.2496100000000006</v>
      </c>
      <c r="P26" s="767">
        <v>8.4000000000000005E-2</v>
      </c>
      <c r="Q26" s="767">
        <v>9.1999999999999998E-2</v>
      </c>
      <c r="S26" s="761" t="s">
        <v>1206</v>
      </c>
      <c r="T26" s="576">
        <f>48400/2/1000000</f>
        <v>2.4199999999999999E-2</v>
      </c>
    </row>
    <row r="27" spans="1:20" s="8" customFormat="1" ht="18.95" customHeight="1">
      <c r="A27" s="755">
        <v>10</v>
      </c>
      <c r="B27" s="750" t="str">
        <f>+'107 (a)'!B27</f>
        <v>Social Anthropology</v>
      </c>
      <c r="C27" s="756">
        <f>SUM('107(b)'!C27*1.1)</f>
        <v>0</v>
      </c>
      <c r="D27" s="756">
        <f>SUM('107(b)'!D27*1.1)</f>
        <v>0</v>
      </c>
      <c r="E27" s="756">
        <f>SUM('107(b)'!E27*1.1)</f>
        <v>0</v>
      </c>
      <c r="F27" s="756">
        <f>SUM('107(b)'!F27*1.1)</f>
        <v>0.36602500000000004</v>
      </c>
      <c r="G27" s="756">
        <f>SUM('107(b)'!G27*1.1)</f>
        <v>0.36602500000000004</v>
      </c>
      <c r="H27" s="756">
        <f>SUM('107(b)'!H27*1.1)</f>
        <v>0.73205000000000009</v>
      </c>
      <c r="I27" s="756">
        <f>SUM('107(b)'!I27*1.1)</f>
        <v>1.4784000000000002</v>
      </c>
      <c r="J27" s="756">
        <f>SUM('107(b)'!J27*1.1)</f>
        <v>0</v>
      </c>
      <c r="K27" s="756">
        <f>SUM('107(b)'!K27*1.1)</f>
        <v>1.4784000000000002</v>
      </c>
      <c r="L27" s="756">
        <f>SUM('107(b)'!L27*1.1)</f>
        <v>0.40480000000000005</v>
      </c>
      <c r="M27" s="756">
        <f>SUM('107(b)'!M27*1.1)</f>
        <v>0</v>
      </c>
      <c r="N27" s="756">
        <f>SUM('107(b)'!N27*1.1)</f>
        <v>0.40480000000000005</v>
      </c>
      <c r="O27" s="756">
        <f>SUM('107(b)'!O27*1.1)</f>
        <v>2.6152500000000001</v>
      </c>
      <c r="P27" s="767">
        <v>8.4000000000000005E-2</v>
      </c>
      <c r="Q27" s="767">
        <v>9.1999999999999998E-2</v>
      </c>
      <c r="S27" s="761" t="s">
        <v>1207</v>
      </c>
      <c r="T27" s="572">
        <f>30250/2/1000000</f>
        <v>1.5125E-2</v>
      </c>
    </row>
    <row r="28" spans="1:20" s="8" customFormat="1" ht="18.95" customHeight="1">
      <c r="A28" s="755">
        <v>11</v>
      </c>
      <c r="B28" s="750" t="str">
        <f>+'107 (a)'!B28</f>
        <v>J.C.W</v>
      </c>
      <c r="C28" s="756">
        <f>SUM('107(b)'!C28*1.1)</f>
        <v>13.750000000000002</v>
      </c>
      <c r="D28" s="756">
        <f>SUM('107(b)'!D28*1.1)</f>
        <v>0</v>
      </c>
      <c r="E28" s="756">
        <f>SUM('107(b)'!E28*1.1)</f>
        <v>13.750000000000002</v>
      </c>
      <c r="F28" s="756">
        <f>SUM('107(b)'!F28*1.1)</f>
        <v>0</v>
      </c>
      <c r="G28" s="756">
        <f>SUM('107(b)'!G28*1.1)</f>
        <v>0</v>
      </c>
      <c r="H28" s="756">
        <f>SUM('107(b)'!H28*1.1)</f>
        <v>0</v>
      </c>
      <c r="I28" s="756">
        <f>SUM('107(b)'!I28*1.1)</f>
        <v>0</v>
      </c>
      <c r="J28" s="756">
        <f>SUM('107(b)'!J28*1.1)</f>
        <v>0</v>
      </c>
      <c r="K28" s="756">
        <f>SUM('107(b)'!K28*1.1)</f>
        <v>0</v>
      </c>
      <c r="L28" s="756">
        <f>SUM('107(b)'!L28*1.1)</f>
        <v>0</v>
      </c>
      <c r="M28" s="756">
        <f>SUM('107(b)'!M28*1.1)</f>
        <v>0</v>
      </c>
      <c r="N28" s="756">
        <f>SUM('107(b)'!N28*1.1)</f>
        <v>0</v>
      </c>
      <c r="O28" s="756">
        <f>SUM('107(b)'!O28*1.1)</f>
        <v>13.750000000000002</v>
      </c>
      <c r="P28" s="767">
        <v>8.4000000000000005E-2</v>
      </c>
      <c r="Q28" s="767">
        <v>9.1999999999999998E-2</v>
      </c>
      <c r="S28" s="761" t="s">
        <v>1208</v>
      </c>
      <c r="T28" s="576">
        <f>50800/1000000/2</f>
        <v>2.5399999999999999E-2</v>
      </c>
    </row>
    <row r="29" spans="1:20" s="8" customFormat="1" ht="18.95" customHeight="1">
      <c r="A29" s="755">
        <v>12</v>
      </c>
      <c r="B29" s="750" t="str">
        <f>+'107 (a)'!B29</f>
        <v>Criminology</v>
      </c>
      <c r="C29" s="756">
        <f>SUM('107(b)'!C29*1.1)</f>
        <v>0</v>
      </c>
      <c r="D29" s="756">
        <f>SUM('107(b)'!D29*1.1)</f>
        <v>0</v>
      </c>
      <c r="E29" s="756">
        <f>SUM('107(b)'!E29*1.1)</f>
        <v>0</v>
      </c>
      <c r="F29" s="756">
        <f>SUM('107(b)'!F29*1.1)</f>
        <v>1.7985000000000002</v>
      </c>
      <c r="G29" s="756">
        <f>SUM('107(b)'!G29*1.1)</f>
        <v>1.7985000000000002</v>
      </c>
      <c r="H29" s="756">
        <f>SUM('107(b)'!H29*1.1)</f>
        <v>3.5970000000000004</v>
      </c>
      <c r="I29" s="756">
        <f>SUM('107(b)'!I29*1.1)</f>
        <v>0</v>
      </c>
      <c r="J29" s="756">
        <f>SUM('107(b)'!J29*1.1)</f>
        <v>0</v>
      </c>
      <c r="K29" s="756">
        <f>SUM('107(b)'!K29*1.1)</f>
        <v>0</v>
      </c>
      <c r="L29" s="756">
        <f>SUM('107(b)'!L29*1.1)</f>
        <v>0</v>
      </c>
      <c r="M29" s="756">
        <f>SUM('107(b)'!M29*1.1)</f>
        <v>0</v>
      </c>
      <c r="N29" s="756">
        <f>SUM('107(b)'!N29*1.1)</f>
        <v>0</v>
      </c>
      <c r="O29" s="756">
        <f>SUM('107(b)'!O29*1.1)</f>
        <v>3.5970000000000004</v>
      </c>
      <c r="P29" s="767">
        <v>8.4000000000000005E-2</v>
      </c>
      <c r="Q29" s="767">
        <v>9.1999999999999998E-2</v>
      </c>
      <c r="S29" s="761" t="s">
        <v>1209</v>
      </c>
      <c r="T29" s="576">
        <f>48400/1000000</f>
        <v>4.8399999999999999E-2</v>
      </c>
    </row>
    <row r="30" spans="1:20" s="8" customFormat="1" ht="18.95" customHeight="1">
      <c r="A30" s="755">
        <v>13</v>
      </c>
      <c r="B30" s="750" t="str">
        <f>+'107 (a)'!B30</f>
        <v>Social Work</v>
      </c>
      <c r="C30" s="756">
        <f>SUM('107(b)'!C30*1.1)</f>
        <v>7.0857600000000005</v>
      </c>
      <c r="D30" s="756">
        <f>SUM('107(b)'!D30*1.1)</f>
        <v>0</v>
      </c>
      <c r="E30" s="756">
        <f>SUM('107(b)'!E30*1.1)</f>
        <v>7.0857600000000005</v>
      </c>
      <c r="F30" s="756">
        <f>SUM('107(b)'!F30*1.1)</f>
        <v>1.7805150000000001</v>
      </c>
      <c r="G30" s="756">
        <f>SUM('107(b)'!G30*1.1)</f>
        <v>1.7805150000000001</v>
      </c>
      <c r="H30" s="756">
        <f>SUM('107(b)'!H30*1.1)</f>
        <v>3.5610300000000001</v>
      </c>
      <c r="I30" s="756">
        <f>SUM('107(b)'!I30*1.1)</f>
        <v>0.92400000000000015</v>
      </c>
      <c r="J30" s="756">
        <f>SUM('107(b)'!J30*1.1)</f>
        <v>0</v>
      </c>
      <c r="K30" s="756">
        <f>SUM('107(b)'!K30*1.1)</f>
        <v>0.92400000000000015</v>
      </c>
      <c r="L30" s="756">
        <f>SUM('107(b)'!L30*1.1)</f>
        <v>0.40480000000000005</v>
      </c>
      <c r="M30" s="756">
        <f>SUM('107(b)'!M30*1.1)</f>
        <v>0</v>
      </c>
      <c r="N30" s="756">
        <f>SUM('107(b)'!N30*1.1)</f>
        <v>0.40480000000000005</v>
      </c>
      <c r="O30" s="756">
        <f>SUM('107(b)'!O30*1.1)</f>
        <v>11.975590000000002</v>
      </c>
      <c r="P30" s="767">
        <v>8.4000000000000005E-2</v>
      </c>
      <c r="Q30" s="767">
        <v>9.1999999999999998E-2</v>
      </c>
      <c r="S30" s="766" t="s">
        <v>1210</v>
      </c>
      <c r="T30" s="576">
        <f>48400/1000000</f>
        <v>4.8399999999999999E-2</v>
      </c>
    </row>
    <row r="31" spans="1:20" s="8" customFormat="1" ht="18.95" customHeight="1">
      <c r="A31" s="755">
        <v>14</v>
      </c>
      <c r="B31" s="750" t="str">
        <f>+'107 (a)'!B31</f>
        <v>Sociology</v>
      </c>
      <c r="C31" s="756">
        <f>SUM('107(b)'!C31*1.1)</f>
        <v>10.466500000000002</v>
      </c>
      <c r="D31" s="756">
        <f>SUM('107(b)'!D31*1.1)</f>
        <v>0</v>
      </c>
      <c r="E31" s="756">
        <f>SUM('107(b)'!E31*1.1)</f>
        <v>10.466500000000002</v>
      </c>
      <c r="F31" s="756">
        <f>SUM('107(b)'!F31*1.1)</f>
        <v>1.456785</v>
      </c>
      <c r="G31" s="756">
        <f>SUM('107(b)'!G31*1.1)</f>
        <v>1.456785</v>
      </c>
      <c r="H31" s="756">
        <f>SUM('107(b)'!H31*1.1)</f>
        <v>2.91357</v>
      </c>
      <c r="I31" s="756">
        <f>SUM('107(b)'!I31*1.1)</f>
        <v>4.7124000000000015</v>
      </c>
      <c r="J31" s="756">
        <f>SUM('107(b)'!J31*1.1)</f>
        <v>0</v>
      </c>
      <c r="K31" s="756">
        <f>SUM('107(b)'!K31*1.1)</f>
        <v>4.7124000000000015</v>
      </c>
      <c r="L31" s="756">
        <f>SUM('107(b)'!L31*1.1)</f>
        <v>4.048</v>
      </c>
      <c r="M31" s="756">
        <f>SUM('107(b)'!M31*1.1)</f>
        <v>0</v>
      </c>
      <c r="N31" s="756">
        <f>SUM('107(b)'!N31*1.1)</f>
        <v>4.048</v>
      </c>
      <c r="O31" s="756">
        <f>SUM('107(b)'!O31*1.1)</f>
        <v>22.140470000000004</v>
      </c>
      <c r="P31" s="767">
        <v>8.4000000000000005E-2</v>
      </c>
      <c r="Q31" s="767">
        <v>9.1999999999999998E-2</v>
      </c>
      <c r="S31" s="765"/>
    </row>
    <row r="32" spans="1:20" s="8" customFormat="1" ht="18.95" customHeight="1">
      <c r="A32" s="755">
        <v>15</v>
      </c>
      <c r="B32" s="750" t="str">
        <f>+'107 (a)'!B32</f>
        <v>Distance Education</v>
      </c>
      <c r="C32" s="756">
        <f>SUM('107(b)'!C32*1.1)</f>
        <v>0</v>
      </c>
      <c r="D32" s="756">
        <f>SUM('107(b)'!D32*1.1)</f>
        <v>0</v>
      </c>
      <c r="E32" s="756">
        <f>SUM('107(b)'!E32*1.1)</f>
        <v>0</v>
      </c>
      <c r="F32" s="756">
        <f>SUM('107(b)'!F32*1.1)</f>
        <v>10.7977375</v>
      </c>
      <c r="G32" s="756">
        <f>SUM('107(b)'!G32*1.1)</f>
        <v>0</v>
      </c>
      <c r="H32" s="756">
        <f>SUM('107(b)'!H32*1.1)</f>
        <v>10.7977375</v>
      </c>
      <c r="I32" s="756">
        <f>SUM('107(b)'!I32*1.1)</f>
        <v>0</v>
      </c>
      <c r="J32" s="756">
        <f>SUM('107(b)'!J32*1.1)</f>
        <v>0</v>
      </c>
      <c r="K32" s="756">
        <f>SUM('107(b)'!K32*1.1)</f>
        <v>0</v>
      </c>
      <c r="L32" s="756">
        <f>SUM('107(b)'!L32*1.1)</f>
        <v>0</v>
      </c>
      <c r="M32" s="756">
        <f>SUM('107(b)'!M32*1.1)</f>
        <v>0</v>
      </c>
      <c r="N32" s="756">
        <f>SUM('107(b)'!N32*1.1)</f>
        <v>0</v>
      </c>
      <c r="O32" s="756">
        <f>SUM('107(b)'!O32*1.1)</f>
        <v>10.7977375</v>
      </c>
      <c r="P32" s="767">
        <v>8.4000000000000005E-2</v>
      </c>
      <c r="Q32" s="767">
        <v>9.1999999999999998E-2</v>
      </c>
      <c r="S32" s="761" t="s">
        <v>1212</v>
      </c>
      <c r="T32" s="576">
        <f>43560/2/1000000</f>
        <v>2.1780000000000001E-2</v>
      </c>
    </row>
    <row r="33" spans="1:20" ht="20.100000000000001" customHeight="1">
      <c r="A33" s="1541" t="s">
        <v>893</v>
      </c>
      <c r="B33" s="1541"/>
      <c r="C33" s="758">
        <f>SUM(C18:C32)</f>
        <v>94.306960000000004</v>
      </c>
      <c r="D33" s="758">
        <f t="shared" ref="D33:O33" si="2">SUM(D18:D32)</f>
        <v>0</v>
      </c>
      <c r="E33" s="758">
        <f t="shared" si="2"/>
        <v>94.306960000000004</v>
      </c>
      <c r="F33" s="758">
        <f t="shared" si="2"/>
        <v>34.367080000000001</v>
      </c>
      <c r="G33" s="758">
        <f t="shared" si="2"/>
        <v>23.569342500000001</v>
      </c>
      <c r="H33" s="758">
        <f t="shared" si="2"/>
        <v>57.936422500000006</v>
      </c>
      <c r="I33" s="758">
        <f t="shared" si="2"/>
        <v>31.600800000000014</v>
      </c>
      <c r="J33" s="758">
        <f t="shared" si="2"/>
        <v>0</v>
      </c>
      <c r="K33" s="758">
        <f t="shared" si="2"/>
        <v>31.600800000000014</v>
      </c>
      <c r="L33" s="758">
        <f t="shared" si="2"/>
        <v>21.758000000000003</v>
      </c>
      <c r="M33" s="758">
        <f t="shared" si="2"/>
        <v>0</v>
      </c>
      <c r="N33" s="758">
        <f t="shared" si="2"/>
        <v>21.758000000000003</v>
      </c>
      <c r="O33" s="758">
        <f t="shared" si="2"/>
        <v>205.60218250000003</v>
      </c>
      <c r="P33" s="767">
        <v>8.4000000000000005E-2</v>
      </c>
      <c r="Q33" s="767">
        <v>9.1999999999999998E-2</v>
      </c>
      <c r="S33" s="761" t="s">
        <v>1213</v>
      </c>
      <c r="T33" s="576">
        <f>32700/2/1000000</f>
        <v>1.635E-2</v>
      </c>
    </row>
    <row r="34" spans="1:20" ht="15" customHeight="1">
      <c r="A34" s="1540" t="s">
        <v>1145</v>
      </c>
      <c r="B34" s="1540"/>
      <c r="C34" s="1540"/>
      <c r="D34" s="1540"/>
      <c r="E34" s="1540"/>
      <c r="F34" s="1540"/>
      <c r="G34" s="1540"/>
      <c r="H34" s="1540"/>
      <c r="I34" s="1540"/>
      <c r="J34" s="1540"/>
      <c r="K34" s="1540"/>
      <c r="L34" s="1540"/>
      <c r="M34" s="1540"/>
      <c r="N34" s="1540"/>
      <c r="O34" s="1540"/>
      <c r="P34" s="767">
        <v>8.4000000000000005E-2</v>
      </c>
      <c r="Q34" s="767">
        <v>9.1999999999999998E-2</v>
      </c>
      <c r="S34" s="761" t="s">
        <v>1214</v>
      </c>
      <c r="T34" s="576">
        <f t="shared" ref="T34:T38" si="3">32700/2/1000000</f>
        <v>1.635E-2</v>
      </c>
    </row>
    <row r="35" spans="1:20" s="8" customFormat="1" ht="18.95" customHeight="1">
      <c r="A35" s="755">
        <v>1</v>
      </c>
      <c r="B35" s="750" t="str">
        <f>+'107 (a)'!B35</f>
        <v>Arabic</v>
      </c>
      <c r="C35" s="756">
        <f>SUM('107(b)'!C35*1.1)</f>
        <v>0</v>
      </c>
      <c r="D35" s="756">
        <f>SUM('107(b)'!D35*1.1)</f>
        <v>0</v>
      </c>
      <c r="E35" s="756">
        <f>SUM('107(b)'!E35*1.1)</f>
        <v>0</v>
      </c>
      <c r="F35" s="756">
        <f>SUM('107(b)'!F35*1.1)</f>
        <v>0.38266250000000002</v>
      </c>
      <c r="G35" s="756">
        <f>SUM('107(b)'!G35*1.1)</f>
        <v>0.38266250000000002</v>
      </c>
      <c r="H35" s="756">
        <f>SUM('107(b)'!H35*1.1)</f>
        <v>0.76532500000000003</v>
      </c>
      <c r="I35" s="756">
        <f>SUM('107(b)'!I35*1.1)</f>
        <v>4.3428000000000004</v>
      </c>
      <c r="J35" s="756">
        <f>SUM('107(b)'!J35*1.1)</f>
        <v>0</v>
      </c>
      <c r="K35" s="756">
        <f>SUM('107(b)'!K35*1.1)</f>
        <v>4.3428000000000004</v>
      </c>
      <c r="L35" s="756">
        <f>SUM('107(b)'!L35*1.1)</f>
        <v>2.4288000000000003</v>
      </c>
      <c r="M35" s="756">
        <f>SUM('107(b)'!M35*1.1)</f>
        <v>0</v>
      </c>
      <c r="N35" s="756">
        <f>SUM('107(b)'!N35*1.1)</f>
        <v>2.4288000000000003</v>
      </c>
      <c r="O35" s="756">
        <f>SUM('107(b)'!O35*1.1)</f>
        <v>7.5369250000000019</v>
      </c>
      <c r="P35" s="767">
        <v>8.4000000000000005E-2</v>
      </c>
      <c r="Q35" s="767">
        <v>9.1999999999999998E-2</v>
      </c>
      <c r="S35" s="761" t="s">
        <v>1215</v>
      </c>
      <c r="T35" s="576">
        <f t="shared" si="3"/>
        <v>1.635E-2</v>
      </c>
    </row>
    <row r="36" spans="1:20" s="8" customFormat="1" ht="18.95" customHeight="1">
      <c r="A36" s="755">
        <v>2</v>
      </c>
      <c r="B36" s="750" t="str">
        <f>+'107 (a)'!B36</f>
        <v>Islamiyat</v>
      </c>
      <c r="C36" s="756">
        <f>SUM('107(b)'!C36*1.1)</f>
        <v>1.694</v>
      </c>
      <c r="D36" s="756">
        <f>SUM('107(b)'!D36*1.1)</f>
        <v>0</v>
      </c>
      <c r="E36" s="756">
        <f>SUM('107(b)'!E36*1.1)</f>
        <v>1.694</v>
      </c>
      <c r="F36" s="756">
        <f>SUM('107(b)'!F36*1.1)</f>
        <v>0.96497500000000003</v>
      </c>
      <c r="G36" s="756">
        <f>SUM('107(b)'!G36*1.1)</f>
        <v>0.96497500000000003</v>
      </c>
      <c r="H36" s="756">
        <f>SUM('107(b)'!H36*1.1)</f>
        <v>1.9299500000000001</v>
      </c>
      <c r="I36" s="756">
        <f>SUM('107(b)'!I36*1.1)</f>
        <v>0.46200000000000008</v>
      </c>
      <c r="J36" s="756">
        <f>SUM('107(b)'!J36*1.1)</f>
        <v>0</v>
      </c>
      <c r="K36" s="756">
        <f>SUM('107(b)'!K36*1.1)</f>
        <v>0.46200000000000008</v>
      </c>
      <c r="L36" s="756">
        <f>SUM('107(b)'!L36*1.1)</f>
        <v>0.20240000000000002</v>
      </c>
      <c r="M36" s="756">
        <f>SUM('107(b)'!M36*1.1)</f>
        <v>0</v>
      </c>
      <c r="N36" s="756">
        <f>SUM('107(b)'!N36*1.1)</f>
        <v>0.20240000000000002</v>
      </c>
      <c r="O36" s="756">
        <f>SUM('107(b)'!O36*1.1)</f>
        <v>4.2883500000000003</v>
      </c>
      <c r="P36" s="767">
        <v>8.4000000000000005E-2</v>
      </c>
      <c r="Q36" s="767">
        <v>9.1999999999999998E-2</v>
      </c>
      <c r="S36" s="761" t="s">
        <v>1216</v>
      </c>
      <c r="T36" s="576">
        <f t="shared" si="3"/>
        <v>1.635E-2</v>
      </c>
    </row>
    <row r="37" spans="1:20" s="8" customFormat="1" ht="18.95" customHeight="1">
      <c r="A37" s="755">
        <v>3</v>
      </c>
      <c r="B37" s="750" t="str">
        <f>+'107 (a)'!B37</f>
        <v xml:space="preserve">Pashto </v>
      </c>
      <c r="C37" s="756">
        <f>SUM('107(b)'!C37*1.1)</f>
        <v>0</v>
      </c>
      <c r="D37" s="756">
        <f>SUM('107(b)'!D37*1.1)</f>
        <v>0</v>
      </c>
      <c r="E37" s="756">
        <f>SUM('107(b)'!E37*1.1)</f>
        <v>0</v>
      </c>
      <c r="F37" s="756">
        <f>SUM('107(b)'!F37*1.1)</f>
        <v>0.54903750000000007</v>
      </c>
      <c r="G37" s="756">
        <f>SUM('107(b)'!G37*1.1)</f>
        <v>0.54903750000000007</v>
      </c>
      <c r="H37" s="756">
        <f>SUM('107(b)'!H37*1.1)</f>
        <v>1.0980750000000001</v>
      </c>
      <c r="I37" s="756">
        <f>SUM('107(b)'!I37*1.1)</f>
        <v>2.4024000000000005</v>
      </c>
      <c r="J37" s="756">
        <f>SUM('107(b)'!J37*1.1)</f>
        <v>0</v>
      </c>
      <c r="K37" s="756">
        <f>SUM('107(b)'!K37*1.1)</f>
        <v>2.4024000000000005</v>
      </c>
      <c r="L37" s="756">
        <f>SUM('107(b)'!L37*1.1)</f>
        <v>0</v>
      </c>
      <c r="M37" s="756">
        <f>SUM('107(b)'!M37*1.1)</f>
        <v>0</v>
      </c>
      <c r="N37" s="756">
        <f>SUM('107(b)'!N37*1.1)</f>
        <v>0</v>
      </c>
      <c r="O37" s="756">
        <f>SUM('107(b)'!O37*1.1)</f>
        <v>3.5004750000000007</v>
      </c>
      <c r="P37" s="767">
        <v>8.4000000000000005E-2</v>
      </c>
      <c r="Q37" s="767">
        <v>9.1999999999999998E-2</v>
      </c>
      <c r="S37" s="761" t="s">
        <v>1217</v>
      </c>
      <c r="T37" s="576">
        <f t="shared" si="3"/>
        <v>1.635E-2</v>
      </c>
    </row>
    <row r="38" spans="1:20" s="8" customFormat="1" ht="18.95" customHeight="1">
      <c r="A38" s="755">
        <v>4</v>
      </c>
      <c r="B38" s="750" t="str">
        <f>+'107 (a)'!B38</f>
        <v>Pashto Academy</v>
      </c>
      <c r="C38" s="756">
        <f>SUM('107(b)'!C38*1.1)</f>
        <v>0</v>
      </c>
      <c r="D38" s="756">
        <f>SUM('107(b)'!D38*1.1)</f>
        <v>0</v>
      </c>
      <c r="E38" s="756">
        <f>SUM('107(b)'!E38*1.1)</f>
        <v>0</v>
      </c>
      <c r="F38" s="756">
        <f>SUM('107(b)'!F38*1.1)</f>
        <v>0</v>
      </c>
      <c r="G38" s="756">
        <f>SUM('107(b)'!G38*1.1)</f>
        <v>0</v>
      </c>
      <c r="H38" s="756">
        <f>SUM('107(b)'!H38*1.1)</f>
        <v>0</v>
      </c>
      <c r="I38" s="756">
        <f>SUM('107(b)'!I38*1.1)</f>
        <v>5.636400000000001</v>
      </c>
      <c r="J38" s="756">
        <f>SUM('107(b)'!J38*1.1)</f>
        <v>0</v>
      </c>
      <c r="K38" s="756">
        <f>SUM('107(b)'!K38*1.1)</f>
        <v>5.636400000000001</v>
      </c>
      <c r="L38" s="756">
        <f>SUM('107(b)'!L38*1.1)</f>
        <v>6.6792000000000007</v>
      </c>
      <c r="M38" s="756">
        <f>SUM('107(b)'!M38*1.1)</f>
        <v>0</v>
      </c>
      <c r="N38" s="756">
        <f>SUM('107(b)'!N38*1.1)</f>
        <v>6.6792000000000007</v>
      </c>
      <c r="O38" s="756">
        <f>SUM('107(b)'!O38*1.1)</f>
        <v>12.315600000000003</v>
      </c>
      <c r="P38" s="767">
        <v>8.4000000000000005E-2</v>
      </c>
      <c r="Q38" s="767">
        <v>9.1999999999999998E-2</v>
      </c>
      <c r="S38" s="761" t="s">
        <v>1218</v>
      </c>
      <c r="T38" s="576">
        <f t="shared" si="3"/>
        <v>1.635E-2</v>
      </c>
    </row>
    <row r="39" spans="1:20" s="8" customFormat="1" ht="18.95" customHeight="1">
      <c r="A39" s="755">
        <v>5</v>
      </c>
      <c r="B39" s="750" t="str">
        <f>+'107 (a)'!B39</f>
        <v>Persian</v>
      </c>
      <c r="C39" s="756">
        <f>SUM('107(b)'!C39*1.1)</f>
        <v>0</v>
      </c>
      <c r="D39" s="756">
        <f>SUM('107(b)'!D39*1.1)</f>
        <v>0</v>
      </c>
      <c r="E39" s="756">
        <f>SUM('107(b)'!E39*1.1)</f>
        <v>0</v>
      </c>
      <c r="F39" s="756">
        <f>SUM('107(b)'!F39*1.1)</f>
        <v>6.1159999999999999E-2</v>
      </c>
      <c r="G39" s="756">
        <f>SUM('107(b)'!G39*1.1)</f>
        <v>6.1159999999999999E-2</v>
      </c>
      <c r="H39" s="756">
        <f>SUM('107(b)'!H39*1.1)</f>
        <v>0.12232</v>
      </c>
      <c r="I39" s="756">
        <f>SUM('107(b)'!I39*1.1)</f>
        <v>0</v>
      </c>
      <c r="J39" s="756">
        <f>SUM('107(b)'!J39*1.1)</f>
        <v>0</v>
      </c>
      <c r="K39" s="756">
        <f>SUM('107(b)'!K39*1.1)</f>
        <v>0</v>
      </c>
      <c r="L39" s="756">
        <f>SUM('107(b)'!L39*1.1)</f>
        <v>0.10120000000000001</v>
      </c>
      <c r="M39" s="756">
        <f>SUM('107(b)'!M39*1.1)</f>
        <v>0</v>
      </c>
      <c r="N39" s="756">
        <f>SUM('107(b)'!N39*1.1)</f>
        <v>0.10120000000000001</v>
      </c>
      <c r="O39" s="756">
        <f>SUM('107(b)'!O39*1.1)</f>
        <v>0.22352</v>
      </c>
      <c r="P39" s="767">
        <v>8.4000000000000005E-2</v>
      </c>
      <c r="Q39" s="767">
        <v>9.1999999999999998E-2</v>
      </c>
      <c r="S39" s="765"/>
    </row>
    <row r="40" spans="1:20" s="8" customFormat="1" ht="18.95" customHeight="1">
      <c r="A40" s="755">
        <v>6</v>
      </c>
      <c r="B40" s="750" t="str">
        <f>+'107 (a)'!B40</f>
        <v>Seerat Studies</v>
      </c>
      <c r="C40" s="756">
        <f>SUM('107(b)'!C40*1.1)</f>
        <v>0</v>
      </c>
      <c r="D40" s="756">
        <f>SUM('107(b)'!D40*1.1)</f>
        <v>0</v>
      </c>
      <c r="E40" s="756">
        <f>SUM('107(b)'!E40*1.1)</f>
        <v>0</v>
      </c>
      <c r="F40" s="756">
        <f>SUM('107(b)'!F40*1.1)</f>
        <v>0</v>
      </c>
      <c r="G40" s="756">
        <f>SUM('107(b)'!G40*1.1)</f>
        <v>0</v>
      </c>
      <c r="H40" s="756">
        <f>SUM('107(b)'!H40*1.1)</f>
        <v>0</v>
      </c>
      <c r="I40" s="756">
        <f>SUM('107(b)'!I40*1.1)</f>
        <v>0</v>
      </c>
      <c r="J40" s="756">
        <f>SUM('107(b)'!J40*1.1)</f>
        <v>0</v>
      </c>
      <c r="K40" s="756">
        <f>SUM('107(b)'!K40*1.1)</f>
        <v>0</v>
      </c>
      <c r="L40" s="756">
        <f>SUM('107(b)'!L40*1.1)</f>
        <v>1.9228000000000001</v>
      </c>
      <c r="M40" s="756">
        <f>SUM('107(b)'!M40*1.1)</f>
        <v>0</v>
      </c>
      <c r="N40" s="756">
        <f>SUM('107(b)'!N40*1.1)</f>
        <v>1.9228000000000001</v>
      </c>
      <c r="O40" s="756">
        <f>SUM('107(b)'!O40*1.1)</f>
        <v>1.9228000000000001</v>
      </c>
      <c r="P40" s="767">
        <v>8.4000000000000005E-2</v>
      </c>
      <c r="Q40" s="767">
        <v>9.1999999999999998E-2</v>
      </c>
      <c r="S40" s="761" t="s">
        <v>1220</v>
      </c>
      <c r="T40" s="576">
        <f>48400/2/1000000</f>
        <v>2.4199999999999999E-2</v>
      </c>
    </row>
    <row r="41" spans="1:20" s="8" customFormat="1" ht="18.95" customHeight="1">
      <c r="A41" s="755">
        <v>7</v>
      </c>
      <c r="B41" s="750" t="str">
        <f>+'107 (a)'!B41</f>
        <v>Urdu</v>
      </c>
      <c r="C41" s="756">
        <f>SUM('107(b)'!C41*1.1)</f>
        <v>0</v>
      </c>
      <c r="D41" s="756">
        <f>SUM('107(b)'!D41*1.1)</f>
        <v>0</v>
      </c>
      <c r="E41" s="756">
        <f>SUM('107(b)'!E41*1.1)</f>
        <v>0</v>
      </c>
      <c r="F41" s="756">
        <f>SUM('107(b)'!F41*1.1)</f>
        <v>1.3642750000000001</v>
      </c>
      <c r="G41" s="756">
        <f>SUM('107(b)'!G41*1.1)</f>
        <v>1.3642750000000001</v>
      </c>
      <c r="H41" s="756">
        <f>SUM('107(b)'!H41*1.1)</f>
        <v>2.7285500000000003</v>
      </c>
      <c r="I41" s="756">
        <f>SUM('107(b)'!I41*1.1)</f>
        <v>2.4948000000000006</v>
      </c>
      <c r="J41" s="756">
        <f>SUM('107(b)'!J41*1.1)</f>
        <v>0</v>
      </c>
      <c r="K41" s="756">
        <f>SUM('107(b)'!K41*1.1)</f>
        <v>2.4948000000000006</v>
      </c>
      <c r="L41" s="756">
        <f>SUM('107(b)'!L41*1.1)</f>
        <v>4.6552000000000007</v>
      </c>
      <c r="M41" s="756">
        <f>SUM('107(b)'!M41*1.1)</f>
        <v>0</v>
      </c>
      <c r="N41" s="756">
        <f>SUM('107(b)'!N41*1.1)</f>
        <v>4.6552000000000007</v>
      </c>
      <c r="O41" s="756">
        <f>SUM('107(b)'!O41*1.1)</f>
        <v>9.8785500000000006</v>
      </c>
      <c r="P41" s="767">
        <v>8.4000000000000005E-2</v>
      </c>
      <c r="Q41" s="767">
        <v>9.1999999999999998E-2</v>
      </c>
      <c r="S41" s="761" t="s">
        <v>1221</v>
      </c>
      <c r="T41" s="576">
        <f>48400/2/1000000</f>
        <v>2.4199999999999999E-2</v>
      </c>
    </row>
    <row r="42" spans="1:20" ht="20.100000000000001" customHeight="1">
      <c r="A42" s="1541" t="s">
        <v>893</v>
      </c>
      <c r="B42" s="1541"/>
      <c r="C42" s="758">
        <f>SUM(C35:C41)</f>
        <v>1.694</v>
      </c>
      <c r="D42" s="758">
        <f t="shared" ref="D42:O42" si="4">SUM(D35:D41)</f>
        <v>0</v>
      </c>
      <c r="E42" s="758">
        <f t="shared" si="4"/>
        <v>1.694</v>
      </c>
      <c r="F42" s="758">
        <f t="shared" si="4"/>
        <v>3.3221100000000003</v>
      </c>
      <c r="G42" s="758">
        <f t="shared" si="4"/>
        <v>3.3221100000000003</v>
      </c>
      <c r="H42" s="758">
        <f t="shared" si="4"/>
        <v>6.6442200000000007</v>
      </c>
      <c r="I42" s="758">
        <f t="shared" si="4"/>
        <v>15.338400000000004</v>
      </c>
      <c r="J42" s="758">
        <f t="shared" si="4"/>
        <v>0</v>
      </c>
      <c r="K42" s="758">
        <f t="shared" si="4"/>
        <v>15.338400000000004</v>
      </c>
      <c r="L42" s="758">
        <f t="shared" si="4"/>
        <v>15.989600000000003</v>
      </c>
      <c r="M42" s="758">
        <f t="shared" si="4"/>
        <v>0</v>
      </c>
      <c r="N42" s="758">
        <f t="shared" si="4"/>
        <v>15.989600000000003</v>
      </c>
      <c r="O42" s="758">
        <f t="shared" si="4"/>
        <v>39.66622000000001</v>
      </c>
      <c r="P42" s="767">
        <v>8.4000000000000005E-2</v>
      </c>
      <c r="Q42" s="767">
        <v>9.1999999999999998E-2</v>
      </c>
      <c r="S42" s="761" t="s">
        <v>1222</v>
      </c>
      <c r="T42" s="576">
        <f>42350/1000000</f>
        <v>4.2349999999999999E-2</v>
      </c>
    </row>
    <row r="43" spans="1:20" ht="15" customHeight="1">
      <c r="A43" s="1540" t="s">
        <v>1150</v>
      </c>
      <c r="B43" s="1540"/>
      <c r="C43" s="1540"/>
      <c r="D43" s="1540"/>
      <c r="E43" s="1540"/>
      <c r="F43" s="1540"/>
      <c r="G43" s="1540"/>
      <c r="H43" s="1540"/>
      <c r="I43" s="1540"/>
      <c r="J43" s="1540"/>
      <c r="K43" s="1540"/>
      <c r="L43" s="1540"/>
      <c r="M43" s="1540"/>
      <c r="N43" s="1540"/>
      <c r="O43" s="1540"/>
      <c r="P43" s="767">
        <v>8.4000000000000005E-2</v>
      </c>
      <c r="Q43" s="767">
        <v>9.1999999999999998E-2</v>
      </c>
      <c r="S43" s="761" t="s">
        <v>1223</v>
      </c>
      <c r="T43" s="576">
        <f>44800/1000000</f>
        <v>4.48E-2</v>
      </c>
    </row>
    <row r="44" spans="1:20" s="8" customFormat="1" ht="18.95" customHeight="1">
      <c r="A44" s="755">
        <v>1</v>
      </c>
      <c r="B44" s="750" t="str">
        <f>+'107 (a)'!B44</f>
        <v>Computer Science</v>
      </c>
      <c r="C44" s="756">
        <f>SUM('107(b)'!C44*1.1)</f>
        <v>13.024440000000002</v>
      </c>
      <c r="D44" s="756">
        <f>SUM('107(b)'!D44*1.1)</f>
        <v>0</v>
      </c>
      <c r="E44" s="756">
        <f>SUM('107(b)'!E44*1.1)</f>
        <v>13.024440000000002</v>
      </c>
      <c r="F44" s="756">
        <f>SUM('107(b)'!F44*1.1)</f>
        <v>1.331</v>
      </c>
      <c r="G44" s="756">
        <f>SUM('107(b)'!G44*1.1)</f>
        <v>1.331</v>
      </c>
      <c r="H44" s="756">
        <f>SUM('107(b)'!H44*1.1)</f>
        <v>2.6619999999999999</v>
      </c>
      <c r="I44" s="756">
        <f>SUM('107(b)'!I44*1.1)</f>
        <v>5.4516000000000009</v>
      </c>
      <c r="J44" s="756">
        <f>SUM('107(b)'!J44*1.1)</f>
        <v>0</v>
      </c>
      <c r="K44" s="756">
        <f>SUM('107(b)'!K44*1.1)</f>
        <v>5.4516000000000009</v>
      </c>
      <c r="L44" s="756">
        <f>SUM('107(b)'!L44*1.1)</f>
        <v>2.8336000000000001</v>
      </c>
      <c r="M44" s="756">
        <f>SUM('107(b)'!M44*1.1)</f>
        <v>0</v>
      </c>
      <c r="N44" s="756">
        <f>SUM('107(b)'!N44*1.1)</f>
        <v>2.8336000000000001</v>
      </c>
      <c r="O44" s="756">
        <f>SUM('107(b)'!O44*1.1)</f>
        <v>23.971640000000004</v>
      </c>
      <c r="P44" s="767">
        <v>8.4000000000000005E-2</v>
      </c>
      <c r="Q44" s="767">
        <v>9.1999999999999998E-2</v>
      </c>
      <c r="S44" s="761" t="s">
        <v>1224</v>
      </c>
      <c r="T44" s="576">
        <f>42350/1000000</f>
        <v>4.2349999999999999E-2</v>
      </c>
    </row>
    <row r="45" spans="1:20" s="8" customFormat="1" ht="18.95" customHeight="1">
      <c r="A45" s="755">
        <v>2</v>
      </c>
      <c r="B45" s="750" t="str">
        <f>+'107 (a)'!B45</f>
        <v xml:space="preserve">Mathematics </v>
      </c>
      <c r="C45" s="756">
        <f>SUM('107(b)'!C45*1.1)</f>
        <v>8.8330000000000002</v>
      </c>
      <c r="D45" s="756">
        <f>SUM('107(b)'!D45*1.1)</f>
        <v>0</v>
      </c>
      <c r="E45" s="756">
        <f>SUM('107(b)'!E45*1.1)</f>
        <v>8.8330000000000002</v>
      </c>
      <c r="F45" s="756">
        <f>SUM('107(b)'!F45*1.1)</f>
        <v>4.3789900000000008</v>
      </c>
      <c r="G45" s="756">
        <f>SUM('107(b)'!G45*1.1)</f>
        <v>4.3789900000000008</v>
      </c>
      <c r="H45" s="756">
        <f>SUM('107(b)'!H45*1.1)</f>
        <v>8.7579800000000017</v>
      </c>
      <c r="I45" s="756">
        <f>SUM('107(b)'!I45*1.1)</f>
        <v>6.0060000000000002</v>
      </c>
      <c r="J45" s="756">
        <f>SUM('107(b)'!J45*1.1)</f>
        <v>0</v>
      </c>
      <c r="K45" s="756">
        <f>SUM('107(b)'!K45*1.1)</f>
        <v>6.0060000000000002</v>
      </c>
      <c r="L45" s="756">
        <f>SUM('107(b)'!L45*1.1)</f>
        <v>3.7444000000000002</v>
      </c>
      <c r="M45" s="756">
        <f>SUM('107(b)'!M45*1.1)</f>
        <v>0</v>
      </c>
      <c r="N45" s="756">
        <f>SUM('107(b)'!N45*1.1)</f>
        <v>3.7444000000000002</v>
      </c>
      <c r="O45" s="756">
        <f>SUM('107(b)'!O45*1.1)</f>
        <v>27.341380000000001</v>
      </c>
      <c r="P45" s="767">
        <v>8.4000000000000005E-2</v>
      </c>
      <c r="Q45" s="767">
        <v>9.1999999999999998E-2</v>
      </c>
      <c r="S45" s="765"/>
    </row>
    <row r="46" spans="1:20" s="8" customFormat="1" ht="18.95" customHeight="1">
      <c r="A46" s="755">
        <v>3</v>
      </c>
      <c r="B46" s="750" t="str">
        <f>+'107 (a)'!B46</f>
        <v>Physics</v>
      </c>
      <c r="C46" s="756">
        <f>SUM('107(b)'!C46*1.1)</f>
        <v>9.6800000000000015</v>
      </c>
      <c r="D46" s="756">
        <f>SUM('107(b)'!D46*1.1)</f>
        <v>0</v>
      </c>
      <c r="E46" s="756">
        <f>SUM('107(b)'!E46*1.1)</f>
        <v>9.6800000000000015</v>
      </c>
      <c r="F46" s="756">
        <f>SUM('107(b)'!F46*1.1)</f>
        <v>5.9136000000000006</v>
      </c>
      <c r="G46" s="756">
        <f>SUM('107(b)'!G46*1.1)</f>
        <v>5.9136000000000006</v>
      </c>
      <c r="H46" s="756">
        <f>SUM('107(b)'!H46*1.1)</f>
        <v>11.827200000000001</v>
      </c>
      <c r="I46" s="756">
        <f>SUM('107(b)'!I46*1.1)</f>
        <v>12.658800000000001</v>
      </c>
      <c r="J46" s="756">
        <f>SUM('107(b)'!J46*1.1)</f>
        <v>0</v>
      </c>
      <c r="K46" s="756">
        <f>SUM('107(b)'!K46*1.1)</f>
        <v>12.658800000000001</v>
      </c>
      <c r="L46" s="756">
        <f>SUM('107(b)'!L46*1.1)</f>
        <v>4.048</v>
      </c>
      <c r="M46" s="756">
        <f>SUM('107(b)'!M46*1.1)</f>
        <v>0</v>
      </c>
      <c r="N46" s="756">
        <f>SUM('107(b)'!N46*1.1)</f>
        <v>4.048</v>
      </c>
      <c r="O46" s="756">
        <f>SUM('107(b)'!O46*1.1)</f>
        <v>38.214000000000006</v>
      </c>
      <c r="P46" s="767">
        <v>8.4000000000000005E-2</v>
      </c>
      <c r="Q46" s="767">
        <v>9.1999999999999998E-2</v>
      </c>
      <c r="S46" s="761" t="s">
        <v>1226</v>
      </c>
      <c r="T46" s="576">
        <f t="shared" ref="T46:T47" si="5">48400/2/1000000</f>
        <v>2.4199999999999999E-2</v>
      </c>
    </row>
    <row r="47" spans="1:20" s="8" customFormat="1" ht="18.95" customHeight="1">
      <c r="A47" s="755">
        <v>4</v>
      </c>
      <c r="B47" s="750" t="str">
        <f>+'107 (a)'!B47</f>
        <v>Statistics</v>
      </c>
      <c r="C47" s="756">
        <f>SUM('107(b)'!C47*1.1)</f>
        <v>5.2635000000000005</v>
      </c>
      <c r="D47" s="756">
        <f>SUM('107(b)'!D47*1.1)</f>
        <v>0</v>
      </c>
      <c r="E47" s="756">
        <f>SUM('107(b)'!E47*1.1)</f>
        <v>5.2635000000000005</v>
      </c>
      <c r="F47" s="756">
        <f>SUM('107(b)'!F47*1.1)</f>
        <v>63.846585000000005</v>
      </c>
      <c r="G47" s="756">
        <f>SUM('107(b)'!G47*1.1)</f>
        <v>63.846585000000005</v>
      </c>
      <c r="H47" s="756">
        <f>SUM('107(b)'!H47*1.1)</f>
        <v>127.69317000000001</v>
      </c>
      <c r="I47" s="756">
        <f>SUM('107(b)'!I47*1.1)</f>
        <v>3.2340000000000009</v>
      </c>
      <c r="J47" s="756">
        <f>SUM('107(b)'!J47*1.1)</f>
        <v>0</v>
      </c>
      <c r="K47" s="756">
        <f>SUM('107(b)'!K47*1.1)</f>
        <v>3.2340000000000009</v>
      </c>
      <c r="L47" s="756">
        <f>SUM('107(b)'!L47*1.1)</f>
        <v>1.518</v>
      </c>
      <c r="M47" s="756">
        <f>SUM('107(b)'!M47*1.1)</f>
        <v>0</v>
      </c>
      <c r="N47" s="756">
        <f>SUM('107(b)'!N47*1.1)</f>
        <v>1.518</v>
      </c>
      <c r="O47" s="756">
        <f>SUM('107(b)'!O47*1.1)</f>
        <v>137.70866999999998</v>
      </c>
      <c r="P47" s="767">
        <v>8.4000000000000005E-2</v>
      </c>
      <c r="Q47" s="767">
        <v>9.1999999999999998E-2</v>
      </c>
      <c r="S47" s="761" t="s">
        <v>1227</v>
      </c>
      <c r="T47" s="576">
        <f t="shared" si="5"/>
        <v>2.4199999999999999E-2</v>
      </c>
    </row>
    <row r="48" spans="1:20" s="8" customFormat="1" ht="18.95" customHeight="1">
      <c r="A48" s="755">
        <v>5</v>
      </c>
      <c r="B48" s="750" t="str">
        <f>+'107 (a)'!B48</f>
        <v>Electronics</v>
      </c>
      <c r="C48" s="756">
        <f>SUM('107(b)'!C48*1.1)</f>
        <v>10.696400000000001</v>
      </c>
      <c r="D48" s="756">
        <f>SUM('107(b)'!D48*1.1)</f>
        <v>0</v>
      </c>
      <c r="E48" s="756">
        <f>SUM('107(b)'!E48*1.1)</f>
        <v>10.696400000000001</v>
      </c>
      <c r="F48" s="756">
        <f>SUM('107(b)'!F48*1.1)</f>
        <v>1.4374800000000001</v>
      </c>
      <c r="G48" s="756">
        <f>SUM('107(b)'!G48*1.1)</f>
        <v>1.4374800000000001</v>
      </c>
      <c r="H48" s="756">
        <f>SUM('107(b)'!H48*1.1)</f>
        <v>2.8749600000000002</v>
      </c>
      <c r="I48" s="756">
        <f>SUM('107(b)'!I48*1.1)</f>
        <v>4.9896000000000011</v>
      </c>
      <c r="J48" s="756">
        <f>SUM('107(b)'!J48*1.1)</f>
        <v>0</v>
      </c>
      <c r="K48" s="756">
        <f>SUM('107(b)'!K48*1.1)</f>
        <v>4.9896000000000011</v>
      </c>
      <c r="L48" s="756">
        <f>SUM('107(b)'!L48*1.1)</f>
        <v>1.1132000000000002</v>
      </c>
      <c r="M48" s="756">
        <f>SUM('107(b)'!M48*1.1)</f>
        <v>0</v>
      </c>
      <c r="N48" s="756">
        <f>SUM('107(b)'!N48*1.1)</f>
        <v>1.1132000000000002</v>
      </c>
      <c r="O48" s="756">
        <f>SUM('107(b)'!O48*1.1)</f>
        <v>19.674160000000001</v>
      </c>
      <c r="P48" s="767">
        <v>8.4000000000000005E-2</v>
      </c>
      <c r="Q48" s="767">
        <v>9.1999999999999998E-2</v>
      </c>
      <c r="S48" s="761" t="s">
        <v>1228</v>
      </c>
      <c r="T48" s="576">
        <f>36300/2/1000000</f>
        <v>1.8149999999999999E-2</v>
      </c>
    </row>
    <row r="49" spans="1:20" s="8" customFormat="1" ht="18.95" customHeight="1">
      <c r="A49" s="755">
        <v>6</v>
      </c>
      <c r="B49" s="750">
        <f>+'107 (a)'!B49</f>
        <v>0</v>
      </c>
      <c r="C49" s="756">
        <f>SUM('107(b)'!C49*1.1)</f>
        <v>0</v>
      </c>
      <c r="D49" s="756">
        <f>SUM('107(b)'!D49*1.1)</f>
        <v>0</v>
      </c>
      <c r="E49" s="756">
        <f>SUM('107(b)'!E49*1.1)</f>
        <v>0</v>
      </c>
      <c r="F49" s="756">
        <f>SUM('107(b)'!F49*1.1)</f>
        <v>0</v>
      </c>
      <c r="G49" s="756">
        <f>SUM('107(b)'!G49*1.1)</f>
        <v>0</v>
      </c>
      <c r="H49" s="756">
        <f>SUM('107(b)'!H49*1.1)</f>
        <v>0</v>
      </c>
      <c r="I49" s="756">
        <f>SUM('107(b)'!I49*1.1)</f>
        <v>0</v>
      </c>
      <c r="J49" s="756">
        <f>SUM('107(b)'!J49*1.1)</f>
        <v>0</v>
      </c>
      <c r="K49" s="756">
        <f>SUM('107(b)'!K49*1.1)</f>
        <v>0</v>
      </c>
      <c r="L49" s="756">
        <f>SUM('107(b)'!L49*1.1)</f>
        <v>0</v>
      </c>
      <c r="M49" s="756">
        <f>SUM('107(b)'!M49*1.1)</f>
        <v>0</v>
      </c>
      <c r="N49" s="756">
        <f>SUM('107(b)'!N49*1.1)</f>
        <v>0</v>
      </c>
      <c r="O49" s="756">
        <f>SUM('107(b)'!O49*1.1)</f>
        <v>0</v>
      </c>
      <c r="P49" s="767">
        <v>8.4000000000000005E-2</v>
      </c>
      <c r="Q49" s="767">
        <v>9.1999999999999998E-2</v>
      </c>
      <c r="S49" s="761" t="s">
        <v>1229</v>
      </c>
      <c r="T49" s="576">
        <f>32700/1000000/2</f>
        <v>1.635E-2</v>
      </c>
    </row>
    <row r="50" spans="1:20" ht="20.100000000000001" customHeight="1">
      <c r="A50" s="1541" t="s">
        <v>893</v>
      </c>
      <c r="B50" s="1541"/>
      <c r="C50" s="758">
        <f>SUM(C44:C48)</f>
        <v>47.497340000000008</v>
      </c>
      <c r="D50" s="758">
        <f t="shared" ref="D50:O50" si="6">SUM(D44:D48)</f>
        <v>0</v>
      </c>
      <c r="E50" s="758">
        <f t="shared" si="6"/>
        <v>47.497340000000008</v>
      </c>
      <c r="F50" s="758">
        <f t="shared" si="6"/>
        <v>76.907655000000005</v>
      </c>
      <c r="G50" s="758">
        <f t="shared" si="6"/>
        <v>76.907655000000005</v>
      </c>
      <c r="H50" s="758">
        <f t="shared" si="6"/>
        <v>153.81531000000001</v>
      </c>
      <c r="I50" s="758">
        <f t="shared" si="6"/>
        <v>32.340000000000003</v>
      </c>
      <c r="J50" s="758">
        <f t="shared" si="6"/>
        <v>0</v>
      </c>
      <c r="K50" s="758">
        <f t="shared" si="6"/>
        <v>32.340000000000003</v>
      </c>
      <c r="L50" s="758">
        <f t="shared" si="6"/>
        <v>13.257200000000003</v>
      </c>
      <c r="M50" s="758">
        <f t="shared" si="6"/>
        <v>0</v>
      </c>
      <c r="N50" s="758">
        <f t="shared" si="6"/>
        <v>13.257200000000003</v>
      </c>
      <c r="O50" s="758">
        <f t="shared" si="6"/>
        <v>246.90985000000001</v>
      </c>
      <c r="P50" s="767">
        <v>8.4000000000000005E-2</v>
      </c>
      <c r="Q50" s="767">
        <v>9.1999999999999998E-2</v>
      </c>
      <c r="S50" s="761" t="s">
        <v>1230</v>
      </c>
      <c r="T50" s="576">
        <f>42350/1000000/2</f>
        <v>2.1174999999999999E-2</v>
      </c>
    </row>
    <row r="51" spans="1:20" ht="20.100000000000001" customHeight="1">
      <c r="A51" s="1534" t="s">
        <v>1010</v>
      </c>
      <c r="B51" s="1535"/>
      <c r="C51" s="748"/>
      <c r="D51" s="748"/>
      <c r="E51" s="749"/>
      <c r="F51" s="748"/>
      <c r="G51" s="748"/>
      <c r="H51" s="749"/>
      <c r="I51" s="748"/>
      <c r="J51" s="748"/>
      <c r="K51" s="749"/>
      <c r="L51" s="748"/>
      <c r="M51" s="748"/>
      <c r="N51" s="749"/>
      <c r="O51" s="748"/>
      <c r="P51" s="767">
        <v>8.4000000000000005E-2</v>
      </c>
      <c r="Q51" s="767">
        <v>9.1999999999999998E-2</v>
      </c>
      <c r="S51" s="761" t="s">
        <v>1231</v>
      </c>
      <c r="T51" s="576">
        <f>36300/2/1000000</f>
        <v>1.8149999999999999E-2</v>
      </c>
    </row>
    <row r="52" spans="1:20" s="8" customFormat="1" ht="18.95" customHeight="1">
      <c r="A52" s="755">
        <v>1</v>
      </c>
      <c r="B52" s="750" t="str">
        <f>+'107 (a)'!B52</f>
        <v>Botany</v>
      </c>
      <c r="C52" s="756">
        <f>SUM('107(b)'!C52*1.1)</f>
        <v>6.8365</v>
      </c>
      <c r="D52" s="756">
        <f>SUM('107(b)'!D52*1.1)</f>
        <v>0</v>
      </c>
      <c r="E52" s="756">
        <f>SUM('107(b)'!E52*1.1)</f>
        <v>6.8365</v>
      </c>
      <c r="F52" s="756">
        <f>SUM('107(b)'!F52*1.1)</f>
        <v>2.5821400000000003</v>
      </c>
      <c r="G52" s="756">
        <f>SUM('107(b)'!G52*1.1)</f>
        <v>2.5821400000000003</v>
      </c>
      <c r="H52" s="756">
        <f>SUM('107(b)'!H52*1.1)</f>
        <v>5.1642800000000006</v>
      </c>
      <c r="I52" s="756">
        <f>SUM('107(b)'!I52*1.1)</f>
        <v>4.8048000000000011</v>
      </c>
      <c r="J52" s="756">
        <f>SUM('107(b)'!J52*1.1)</f>
        <v>0</v>
      </c>
      <c r="K52" s="756">
        <f>SUM('107(b)'!K52*1.1)</f>
        <v>4.8048000000000011</v>
      </c>
      <c r="L52" s="756">
        <f>SUM('107(b)'!L52*1.1)</f>
        <v>3.1372</v>
      </c>
      <c r="M52" s="756">
        <f>SUM('107(b)'!M52*1.1)</f>
        <v>0</v>
      </c>
      <c r="N52" s="756">
        <f>SUM('107(b)'!N52*1.1)</f>
        <v>3.1372</v>
      </c>
      <c r="O52" s="756">
        <f>SUM('107(b)'!O52*1.1)</f>
        <v>19.942780000000003</v>
      </c>
      <c r="P52" s="767">
        <v>8.4000000000000005E-2</v>
      </c>
      <c r="Q52" s="767">
        <v>9.1999999999999998E-2</v>
      </c>
      <c r="S52" s="761" t="s">
        <v>1232</v>
      </c>
      <c r="T52" s="576">
        <f>30250/2/1000000</f>
        <v>1.5125E-2</v>
      </c>
    </row>
    <row r="53" spans="1:20" s="8" customFormat="1" ht="18.95" customHeight="1">
      <c r="A53" s="755">
        <v>2</v>
      </c>
      <c r="B53" s="750" t="str">
        <f>+'107 (a)'!B54</f>
        <v xml:space="preserve"> Microbiology</v>
      </c>
      <c r="C53" s="756">
        <f>SUM('107(b)'!C53*1.1)</f>
        <v>14.52</v>
      </c>
      <c r="D53" s="756">
        <f>SUM('107(b)'!D53*1.1)</f>
        <v>0</v>
      </c>
      <c r="E53" s="756">
        <f>SUM('107(b)'!E53*1.1)</f>
        <v>14.52</v>
      </c>
      <c r="F53" s="756">
        <f>SUM('107(b)'!F53*1.1)</f>
        <v>0</v>
      </c>
      <c r="G53" s="756">
        <f>SUM('107(b)'!G53*1.1)</f>
        <v>0</v>
      </c>
      <c r="H53" s="756">
        <f>SUM('107(b)'!H53*1.1)</f>
        <v>0</v>
      </c>
      <c r="I53" s="756">
        <f>SUM('107(b)'!I53*1.1)</f>
        <v>8.9627999999999997</v>
      </c>
      <c r="J53" s="756">
        <f>SUM('107(b)'!J53*1.1)</f>
        <v>0</v>
      </c>
      <c r="K53" s="756">
        <f>SUM('107(b)'!K53*1.1)</f>
        <v>8.9627999999999997</v>
      </c>
      <c r="L53" s="756">
        <f>SUM('107(b)'!L53*1.1)</f>
        <v>5.3636000000000008</v>
      </c>
      <c r="M53" s="756">
        <f>SUM('107(b)'!M53*1.1)</f>
        <v>0</v>
      </c>
      <c r="N53" s="756">
        <f>SUM('107(b)'!N53*1.1)</f>
        <v>5.3636000000000008</v>
      </c>
      <c r="O53" s="756">
        <f>SUM('107(b)'!O53*1.1)</f>
        <v>28.846400000000003</v>
      </c>
      <c r="P53" s="767">
        <v>8.4000000000000005E-2</v>
      </c>
      <c r="Q53" s="767">
        <v>9.1999999999999998E-2</v>
      </c>
      <c r="S53" s="761" t="s">
        <v>1233</v>
      </c>
      <c r="T53" s="576">
        <f>36300/2/1000000</f>
        <v>1.8149999999999999E-2</v>
      </c>
    </row>
    <row r="54" spans="1:20" s="8" customFormat="1" ht="18.95" customHeight="1">
      <c r="A54" s="755">
        <v>3</v>
      </c>
      <c r="B54" s="750" t="str">
        <f>+'107 (a)'!B55</f>
        <v>Centre of Disaster Preparedness &amp; Management</v>
      </c>
      <c r="C54" s="756">
        <f>SUM('107(b)'!C54*1.1)</f>
        <v>10.5875</v>
      </c>
      <c r="D54" s="756">
        <f>SUM('107(b)'!D54*1.1)</f>
        <v>0</v>
      </c>
      <c r="E54" s="756">
        <f>SUM('107(b)'!E54*1.1)</f>
        <v>10.5875</v>
      </c>
      <c r="F54" s="756">
        <f>SUM('107(b)'!F54*1.1)</f>
        <v>0.61226000000000003</v>
      </c>
      <c r="G54" s="756">
        <f>SUM('107(b)'!G54*1.1)</f>
        <v>0.61226000000000003</v>
      </c>
      <c r="H54" s="756">
        <f>SUM('107(b)'!H54*1.1)</f>
        <v>1.2245200000000001</v>
      </c>
      <c r="I54" s="756">
        <f>SUM('107(b)'!I54*1.1)</f>
        <v>0</v>
      </c>
      <c r="J54" s="756">
        <f>SUM('107(b)'!J54*1.1)</f>
        <v>0</v>
      </c>
      <c r="K54" s="756">
        <f>SUM('107(b)'!K54*1.1)</f>
        <v>0</v>
      </c>
      <c r="L54" s="756">
        <f>SUM('107(b)'!L54*1.1)</f>
        <v>0.10120000000000001</v>
      </c>
      <c r="M54" s="756">
        <f>SUM('107(b)'!M54*1.1)</f>
        <v>0</v>
      </c>
      <c r="N54" s="756">
        <f>SUM('107(b)'!N54*1.1)</f>
        <v>0.10120000000000001</v>
      </c>
      <c r="O54" s="756">
        <f>SUM('107(b)'!O54*1.1)</f>
        <v>11.913220000000001</v>
      </c>
      <c r="P54" s="767">
        <v>8.4000000000000005E-2</v>
      </c>
      <c r="Q54" s="767">
        <v>9.1999999999999998E-2</v>
      </c>
      <c r="S54" s="761" t="s">
        <v>1234</v>
      </c>
      <c r="T54" s="576">
        <f>30250/1000000/2</f>
        <v>1.5125E-2</v>
      </c>
    </row>
    <row r="55" spans="1:20" s="8" customFormat="1" ht="18.95" customHeight="1">
      <c r="A55" s="755">
        <v>4</v>
      </c>
      <c r="B55" s="750" t="str">
        <f>+'107 (a)'!B56</f>
        <v>Centre of Plant Biodiversity</v>
      </c>
      <c r="C55" s="756">
        <f>SUM('107(b)'!C55*1.1)</f>
        <v>0</v>
      </c>
      <c r="D55" s="756">
        <f>SUM('107(b)'!D55*1.1)</f>
        <v>0</v>
      </c>
      <c r="E55" s="756">
        <f>SUM('107(b)'!E55*1.1)</f>
        <v>0</v>
      </c>
      <c r="F55" s="756">
        <f>SUM('107(b)'!F55*1.1)</f>
        <v>0</v>
      </c>
      <c r="G55" s="756">
        <f>SUM('107(b)'!G55*1.1)</f>
        <v>0</v>
      </c>
      <c r="H55" s="756">
        <f>SUM('107(b)'!H55*1.1)</f>
        <v>0</v>
      </c>
      <c r="I55" s="756">
        <f>SUM('107(b)'!I55*1.1)</f>
        <v>0.2772</v>
      </c>
      <c r="J55" s="756">
        <f>SUM('107(b)'!J55*1.1)</f>
        <v>0</v>
      </c>
      <c r="K55" s="756">
        <f>SUM('107(b)'!K55*1.1)</f>
        <v>0.2772</v>
      </c>
      <c r="L55" s="756">
        <f>SUM('107(b)'!L55*1.1)</f>
        <v>1.1132000000000002</v>
      </c>
      <c r="M55" s="756">
        <f>SUM('107(b)'!M55*1.1)</f>
        <v>0</v>
      </c>
      <c r="N55" s="756">
        <f>SUM('107(b)'!N55*1.1)</f>
        <v>1.1132000000000002</v>
      </c>
      <c r="O55" s="756">
        <f>SUM('107(b)'!O55*1.1)</f>
        <v>1.3904000000000001</v>
      </c>
      <c r="P55" s="767">
        <v>8.4000000000000005E-2</v>
      </c>
      <c r="Q55" s="767">
        <v>9.1999999999999998E-2</v>
      </c>
      <c r="S55" s="761" t="s">
        <v>1235</v>
      </c>
      <c r="T55" s="576">
        <f>32700/2/1000000</f>
        <v>1.635E-2</v>
      </c>
    </row>
    <row r="56" spans="1:20" s="8" customFormat="1" ht="18.95" customHeight="1">
      <c r="A56" s="755">
        <v>5</v>
      </c>
      <c r="B56" s="750" t="str">
        <f>+'107 (a)'!B57</f>
        <v>Environmental science</v>
      </c>
      <c r="C56" s="756">
        <f>SUM('107(b)'!C56*1.1)</f>
        <v>7.6955999999999998</v>
      </c>
      <c r="D56" s="756">
        <f>SUM('107(b)'!D56*1.1)</f>
        <v>0</v>
      </c>
      <c r="E56" s="756">
        <f>SUM('107(b)'!E56*1.1)</f>
        <v>7.6955999999999998</v>
      </c>
      <c r="F56" s="756">
        <f>SUM('107(b)'!F56*1.1)</f>
        <v>1.3642750000000001</v>
      </c>
      <c r="G56" s="756">
        <f>SUM('107(b)'!G56*1.1)</f>
        <v>1.3642750000000001</v>
      </c>
      <c r="H56" s="756">
        <f>SUM('107(b)'!H56*1.1)</f>
        <v>2.7285500000000003</v>
      </c>
      <c r="I56" s="756">
        <f>SUM('107(b)'!I56*1.1)</f>
        <v>3.3264000000000005</v>
      </c>
      <c r="J56" s="756">
        <f>SUM('107(b)'!J56*1.1)</f>
        <v>0</v>
      </c>
      <c r="K56" s="756">
        <f>SUM('107(b)'!K56*1.1)</f>
        <v>3.3264000000000005</v>
      </c>
      <c r="L56" s="756">
        <f>SUM('107(b)'!L56*1.1)</f>
        <v>4.048</v>
      </c>
      <c r="M56" s="756">
        <f>SUM('107(b)'!M56*1.1)</f>
        <v>0</v>
      </c>
      <c r="N56" s="756">
        <f>SUM('107(b)'!N56*1.1)</f>
        <v>4.048</v>
      </c>
      <c r="O56" s="756">
        <f>SUM('107(b)'!O56*1.1)</f>
        <v>17.798549999999999</v>
      </c>
      <c r="P56" s="767">
        <v>8.4000000000000005E-2</v>
      </c>
      <c r="Q56" s="767">
        <v>9.1999999999999998E-2</v>
      </c>
      <c r="S56" s="761" t="s">
        <v>1236</v>
      </c>
      <c r="T56" s="576">
        <f>32700/1000000/2</f>
        <v>1.635E-2</v>
      </c>
    </row>
    <row r="57" spans="1:20" s="8" customFormat="1" ht="18.95" customHeight="1">
      <c r="A57" s="755">
        <v>6</v>
      </c>
      <c r="B57" s="750" t="str">
        <f>+'107 (a)'!B58</f>
        <v>Geology</v>
      </c>
      <c r="C57" s="756">
        <f>SUM('107(b)'!C57*1.1)</f>
        <v>13.0075</v>
      </c>
      <c r="D57" s="756">
        <f>SUM('107(b)'!D57*1.1)</f>
        <v>0</v>
      </c>
      <c r="E57" s="756">
        <f>SUM('107(b)'!E57*1.1)</f>
        <v>13.0075</v>
      </c>
      <c r="F57" s="756">
        <f>SUM('107(b)'!F57*1.1)</f>
        <v>0</v>
      </c>
      <c r="G57" s="756">
        <f>SUM('107(b)'!G57*1.1)</f>
        <v>0</v>
      </c>
      <c r="H57" s="756">
        <f>SUM('107(b)'!H57*1.1)</f>
        <v>0</v>
      </c>
      <c r="I57" s="756">
        <f>SUM('107(b)'!I57*1.1)</f>
        <v>5.4516000000000009</v>
      </c>
      <c r="J57" s="756">
        <f>SUM('107(b)'!J57*1.1)</f>
        <v>0</v>
      </c>
      <c r="K57" s="756">
        <f>SUM('107(b)'!K57*1.1)</f>
        <v>5.4516000000000009</v>
      </c>
      <c r="L57" s="756">
        <f>SUM('107(b)'!L57*1.1)</f>
        <v>1.3156000000000001</v>
      </c>
      <c r="M57" s="756">
        <f>SUM('107(b)'!M57*1.1)</f>
        <v>0</v>
      </c>
      <c r="N57" s="756">
        <f>SUM('107(b)'!N57*1.1)</f>
        <v>1.3156000000000001</v>
      </c>
      <c r="O57" s="756">
        <f>SUM('107(b)'!O57*1.1)</f>
        <v>19.774700000000003</v>
      </c>
      <c r="P57" s="767">
        <v>8.4000000000000005E-2</v>
      </c>
      <c r="Q57" s="767">
        <v>9.1999999999999998E-2</v>
      </c>
      <c r="S57" s="761" t="s">
        <v>1237</v>
      </c>
      <c r="T57" s="576">
        <f>29050/1000000/2</f>
        <v>1.4525E-2</v>
      </c>
    </row>
    <row r="58" spans="1:20" s="8" customFormat="1" ht="18.95" customHeight="1">
      <c r="A58" s="755">
        <v>7</v>
      </c>
      <c r="B58" s="750" t="str">
        <f>+'107 (a)'!B59</f>
        <v>Geography</v>
      </c>
      <c r="C58" s="756">
        <f>SUM('107(b)'!C58*1.1)</f>
        <v>2.4200000000000004</v>
      </c>
      <c r="D58" s="756">
        <f>SUM('107(b)'!D58*1.1)</f>
        <v>0</v>
      </c>
      <c r="E58" s="756">
        <f>SUM('107(b)'!E58*1.1)</f>
        <v>2.4200000000000004</v>
      </c>
      <c r="F58" s="756">
        <f>SUM('107(b)'!F58*1.1)</f>
        <v>2.7101800000000003</v>
      </c>
      <c r="G58" s="756">
        <f>SUM('107(b)'!G58*1.1)</f>
        <v>2.7101800000000003</v>
      </c>
      <c r="H58" s="756">
        <f>SUM('107(b)'!H58*1.1)</f>
        <v>5.4203600000000005</v>
      </c>
      <c r="I58" s="756">
        <f>SUM('107(b)'!I58*1.1)</f>
        <v>4.8048000000000011</v>
      </c>
      <c r="J58" s="756">
        <f>SUM('107(b)'!J58*1.1)</f>
        <v>0</v>
      </c>
      <c r="K58" s="756">
        <f>SUM('107(b)'!K58*1.1)</f>
        <v>4.8048000000000011</v>
      </c>
      <c r="L58" s="756">
        <f>SUM('107(b)'!L58*1.1)</f>
        <v>0</v>
      </c>
      <c r="M58" s="756">
        <f>SUM('107(b)'!M58*1.1)</f>
        <v>0</v>
      </c>
      <c r="N58" s="756">
        <f>SUM('107(b)'!N58*1.1)</f>
        <v>0</v>
      </c>
      <c r="O58" s="756">
        <f>SUM('107(b)'!O58*1.1)</f>
        <v>12.645160000000001</v>
      </c>
      <c r="P58" s="767">
        <v>8.4000000000000005E-2</v>
      </c>
      <c r="Q58" s="767">
        <v>9.1999999999999998E-2</v>
      </c>
      <c r="S58" s="761" t="s">
        <v>1238</v>
      </c>
      <c r="T58" s="576">
        <f>32700/2/1000000</f>
        <v>1.635E-2</v>
      </c>
    </row>
    <row r="59" spans="1:20" s="8" customFormat="1" ht="18.95" customHeight="1">
      <c r="A59" s="755">
        <v>8</v>
      </c>
      <c r="B59" s="750" t="str">
        <f>+'107 (a)'!B60</f>
        <v>Geomatics</v>
      </c>
      <c r="C59" s="756">
        <f>SUM('107(b)'!C59*1.1)</f>
        <v>8.2280000000000015</v>
      </c>
      <c r="D59" s="756">
        <f>SUM('107(b)'!D59*1.1)</f>
        <v>0</v>
      </c>
      <c r="E59" s="756">
        <f>SUM('107(b)'!E59*1.1)</f>
        <v>8.2280000000000015</v>
      </c>
      <c r="F59" s="756">
        <f>SUM('107(b)'!F59*1.1)</f>
        <v>0</v>
      </c>
      <c r="G59" s="756">
        <f>SUM('107(b)'!G59*1.1)</f>
        <v>0</v>
      </c>
      <c r="H59" s="756">
        <f>SUM('107(b)'!H59*1.1)</f>
        <v>0</v>
      </c>
      <c r="I59" s="756">
        <f>SUM('107(b)'!I59*1.1)</f>
        <v>0</v>
      </c>
      <c r="J59" s="756">
        <f>SUM('107(b)'!J59*1.1)</f>
        <v>0</v>
      </c>
      <c r="K59" s="756">
        <f>SUM('107(b)'!K59*1.1)</f>
        <v>0</v>
      </c>
      <c r="L59" s="756">
        <f>SUM('107(b)'!L59*1.1)</f>
        <v>0</v>
      </c>
      <c r="M59" s="756">
        <f>SUM('107(b)'!M59*1.1)</f>
        <v>0</v>
      </c>
      <c r="N59" s="756">
        <f>SUM('107(b)'!N59*1.1)</f>
        <v>0</v>
      </c>
      <c r="O59" s="756">
        <f>SUM('107(b)'!O59*1.1)</f>
        <v>8.2280000000000015</v>
      </c>
      <c r="P59" s="767">
        <v>8.4000000000000005E-2</v>
      </c>
      <c r="Q59" s="767">
        <v>9.1999999999999998E-2</v>
      </c>
      <c r="S59" s="765"/>
    </row>
    <row r="60" spans="1:20" s="8" customFormat="1" ht="18.95" customHeight="1">
      <c r="A60" s="755">
        <v>9</v>
      </c>
      <c r="B60" s="750" t="str">
        <f>+'107 (a)'!B61</f>
        <v>Institute of Chemical Science</v>
      </c>
      <c r="C60" s="756">
        <f>SUM('107(b)'!C60*1.1)</f>
        <v>11.4345</v>
      </c>
      <c r="D60" s="756">
        <f>SUM('107(b)'!D60*1.1)</f>
        <v>0</v>
      </c>
      <c r="E60" s="756">
        <f>SUM('107(b)'!E60*1.1)</f>
        <v>11.4345</v>
      </c>
      <c r="F60" s="756">
        <f>SUM('107(b)'!F60*1.1)</f>
        <v>0</v>
      </c>
      <c r="G60" s="756">
        <f>SUM('107(b)'!G60*1.1)</f>
        <v>0</v>
      </c>
      <c r="H60" s="756">
        <f>SUM('107(b)'!H60*1.1)</f>
        <v>0</v>
      </c>
      <c r="I60" s="756">
        <f>SUM('107(b)'!I60*1.1)</f>
        <v>17.2788</v>
      </c>
      <c r="J60" s="756">
        <f>SUM('107(b)'!J60*1.1)</f>
        <v>0</v>
      </c>
      <c r="K60" s="756">
        <f>SUM('107(b)'!K60*1.1)</f>
        <v>17.2788</v>
      </c>
      <c r="L60" s="756">
        <f>SUM('107(b)'!L60*1.1)</f>
        <v>5.7684000000000006</v>
      </c>
      <c r="M60" s="756">
        <f>SUM('107(b)'!M60*1.1)</f>
        <v>0</v>
      </c>
      <c r="N60" s="756">
        <f>SUM('107(b)'!N60*1.1)</f>
        <v>5.7684000000000006</v>
      </c>
      <c r="O60" s="756">
        <f>SUM('107(b)'!O60*1.1)</f>
        <v>34.481700000000004</v>
      </c>
      <c r="P60" s="767">
        <v>8.4000000000000005E-2</v>
      </c>
      <c r="Q60" s="767">
        <v>9.1999999999999998E-2</v>
      </c>
      <c r="S60" s="765"/>
    </row>
    <row r="61" spans="1:20" s="8" customFormat="1" ht="18.95" customHeight="1">
      <c r="A61" s="755">
        <v>10</v>
      </c>
      <c r="B61" s="750" t="str">
        <f>+'107 (a)'!B62</f>
        <v>Pharmacy</v>
      </c>
      <c r="C61" s="756">
        <f>SUM('107(b)'!C61*1.1)</f>
        <v>10.127700000000001</v>
      </c>
      <c r="D61" s="756">
        <f>SUM('107(b)'!D61*1.1)</f>
        <v>0</v>
      </c>
      <c r="E61" s="756">
        <f>SUM('107(b)'!E61*1.1)</f>
        <v>10.127700000000001</v>
      </c>
      <c r="F61" s="756">
        <f>SUM('107(b)'!F61*1.1)</f>
        <v>0</v>
      </c>
      <c r="G61" s="756">
        <f>SUM('107(b)'!G61*1.1)</f>
        <v>0</v>
      </c>
      <c r="H61" s="756">
        <f>SUM('107(b)'!H61*1.1)</f>
        <v>0</v>
      </c>
      <c r="I61" s="756">
        <f>SUM('107(b)'!I61*1.1)</f>
        <v>3.9732000000000003</v>
      </c>
      <c r="J61" s="756">
        <f>SUM('107(b)'!J61*1.1)</f>
        <v>0</v>
      </c>
      <c r="K61" s="756">
        <f>SUM('107(b)'!K61*1.1)</f>
        <v>3.9732000000000003</v>
      </c>
      <c r="L61" s="756">
        <f>SUM('107(b)'!L61*1.1)</f>
        <v>4.048</v>
      </c>
      <c r="M61" s="756">
        <f>SUM('107(b)'!M61*1.1)</f>
        <v>0</v>
      </c>
      <c r="N61" s="756">
        <f>SUM('107(b)'!N61*1.1)</f>
        <v>4.048</v>
      </c>
      <c r="O61" s="756">
        <f>SUM('107(b)'!O61*1.1)</f>
        <v>18.148900000000005</v>
      </c>
      <c r="P61" s="767">
        <v>8.4000000000000005E-2</v>
      </c>
      <c r="Q61" s="767">
        <v>9.1999999999999998E-2</v>
      </c>
      <c r="S61" s="765"/>
    </row>
    <row r="62" spans="1:20" s="8" customFormat="1" ht="18.95" customHeight="1">
      <c r="A62" s="755">
        <v>11</v>
      </c>
      <c r="B62" s="750" t="str">
        <f>+'107 (a)'!B63</f>
        <v>Urban &amp; Regional Planning</v>
      </c>
      <c r="C62" s="756">
        <f>SUM('107(b)'!C62*1.1)</f>
        <v>8.5910000000000011</v>
      </c>
      <c r="D62" s="756">
        <f>SUM('107(b)'!D62*1.1)</f>
        <v>0</v>
      </c>
      <c r="E62" s="756">
        <f>SUM('107(b)'!E62*1.1)</f>
        <v>8.5910000000000011</v>
      </c>
      <c r="F62" s="756">
        <f>SUM('107(b)'!F62*1.1)</f>
        <v>0</v>
      </c>
      <c r="G62" s="756">
        <f>SUM('107(b)'!G62*1.1)</f>
        <v>0</v>
      </c>
      <c r="H62" s="756">
        <f>SUM('107(b)'!H62*1.1)</f>
        <v>0</v>
      </c>
      <c r="I62" s="756">
        <f>SUM('107(b)'!I62*1.1)</f>
        <v>1.4784000000000002</v>
      </c>
      <c r="J62" s="756">
        <f>SUM('107(b)'!J62*1.1)</f>
        <v>0</v>
      </c>
      <c r="K62" s="756">
        <f>SUM('107(b)'!K62*1.1)</f>
        <v>1.4784000000000002</v>
      </c>
      <c r="L62" s="756">
        <f>SUM('107(b)'!L62*1.1)</f>
        <v>0.8096000000000001</v>
      </c>
      <c r="M62" s="756">
        <f>SUM('107(b)'!M62*1.1)</f>
        <v>0</v>
      </c>
      <c r="N62" s="756">
        <f>SUM('107(b)'!N62*1.1)</f>
        <v>0.8096000000000001</v>
      </c>
      <c r="O62" s="756">
        <f>SUM('107(b)'!O62*1.1)</f>
        <v>10.879000000000001</v>
      </c>
      <c r="P62" s="767">
        <v>8.4000000000000005E-2</v>
      </c>
      <c r="Q62" s="767">
        <v>9.1999999999999998E-2</v>
      </c>
      <c r="S62" s="765"/>
    </row>
    <row r="63" spans="1:20" s="8" customFormat="1" ht="18.95" customHeight="1">
      <c r="A63" s="755">
        <v>12</v>
      </c>
      <c r="B63" s="750" t="str">
        <f>+'107 (a)'!B65</f>
        <v>Zoology</v>
      </c>
      <c r="C63" s="756">
        <f>SUM('107(b)'!C63*1.1)</f>
        <v>12.039500000000002</v>
      </c>
      <c r="D63" s="756">
        <f>SUM('107(b)'!D63*1.1)</f>
        <v>0</v>
      </c>
      <c r="E63" s="756">
        <f>SUM('107(b)'!E63*1.1)</f>
        <v>12.039500000000002</v>
      </c>
      <c r="F63" s="756">
        <f>SUM('107(b)'!F63*1.1)</f>
        <v>107.80000000000001</v>
      </c>
      <c r="G63" s="756">
        <f>SUM('107(b)'!G63*1.1)</f>
        <v>107.80000000000001</v>
      </c>
      <c r="H63" s="756">
        <f>SUM('107(b)'!H63*1.1)</f>
        <v>215.60000000000002</v>
      </c>
      <c r="I63" s="756">
        <f>SUM('107(b)'!I63*1.1)</f>
        <v>8.2236000000000011</v>
      </c>
      <c r="J63" s="756">
        <f>SUM('107(b)'!J63*1.1)</f>
        <v>0</v>
      </c>
      <c r="K63" s="756">
        <f>SUM('107(b)'!K63*1.1)</f>
        <v>8.2236000000000011</v>
      </c>
      <c r="L63" s="756">
        <f>SUM('107(b)'!L63*1.1)</f>
        <v>4.2504</v>
      </c>
      <c r="M63" s="756">
        <f>SUM('107(b)'!M63*1.1)</f>
        <v>0</v>
      </c>
      <c r="N63" s="756">
        <f>SUM('107(b)'!N63*1.1)</f>
        <v>4.2504</v>
      </c>
      <c r="O63" s="756">
        <f>SUM('107(b)'!O63*1.1)</f>
        <v>240.11350000000002</v>
      </c>
      <c r="P63" s="767">
        <v>8.4000000000000005E-2</v>
      </c>
      <c r="Q63" s="767">
        <v>9.1999999999999998E-2</v>
      </c>
      <c r="S63" s="765"/>
    </row>
    <row r="64" spans="1:20" ht="20.100000000000001" customHeight="1">
      <c r="A64" s="1541" t="s">
        <v>893</v>
      </c>
      <c r="B64" s="1541"/>
      <c r="C64" s="758">
        <f>SUM(C52:C62)</f>
        <v>93.448300000000017</v>
      </c>
      <c r="D64" s="758">
        <f t="shared" ref="D64:O64" si="7">SUM(D52:D62)</f>
        <v>0</v>
      </c>
      <c r="E64" s="758">
        <f t="shared" si="7"/>
        <v>93.448300000000017</v>
      </c>
      <c r="F64" s="758">
        <f t="shared" si="7"/>
        <v>7.2688550000000012</v>
      </c>
      <c r="G64" s="758">
        <f t="shared" si="7"/>
        <v>7.2688550000000012</v>
      </c>
      <c r="H64" s="758">
        <f t="shared" si="7"/>
        <v>14.537710000000002</v>
      </c>
      <c r="I64" s="758">
        <f t="shared" si="7"/>
        <v>50.358000000000004</v>
      </c>
      <c r="J64" s="758">
        <f t="shared" si="7"/>
        <v>0</v>
      </c>
      <c r="K64" s="758">
        <f t="shared" si="7"/>
        <v>50.358000000000004</v>
      </c>
      <c r="L64" s="758">
        <f t="shared" si="7"/>
        <v>25.704800000000002</v>
      </c>
      <c r="M64" s="758">
        <f t="shared" si="7"/>
        <v>0</v>
      </c>
      <c r="N64" s="758">
        <f t="shared" si="7"/>
        <v>25.704800000000002</v>
      </c>
      <c r="O64" s="758">
        <f t="shared" si="7"/>
        <v>184.04881</v>
      </c>
      <c r="P64" s="767">
        <v>8.4000000000000005E-2</v>
      </c>
      <c r="Q64" s="767">
        <v>9.1999999999999998E-2</v>
      </c>
    </row>
    <row r="65" spans="1:19" ht="20.100000000000001" customHeight="1">
      <c r="A65" s="1540" t="s">
        <v>1157</v>
      </c>
      <c r="B65" s="1540"/>
      <c r="C65" s="1540"/>
      <c r="D65" s="1540"/>
      <c r="E65" s="1540"/>
      <c r="F65" s="1540"/>
      <c r="G65" s="1540"/>
      <c r="H65" s="1540"/>
      <c r="I65" s="1540"/>
      <c r="J65" s="1540"/>
      <c r="K65" s="1540"/>
      <c r="L65" s="1540"/>
      <c r="M65" s="1540"/>
      <c r="N65" s="1540"/>
      <c r="O65" s="1540"/>
      <c r="P65" s="767">
        <v>8.4000000000000005E-2</v>
      </c>
      <c r="Q65" s="767">
        <v>9.1999999999999998E-2</v>
      </c>
    </row>
    <row r="66" spans="1:19" ht="25.5">
      <c r="A66" s="755">
        <v>1</v>
      </c>
      <c r="B66" s="750" t="s">
        <v>1158</v>
      </c>
      <c r="C66" s="756">
        <f>SUM('107(b)'!C66*1.1)</f>
        <v>25.423200000000001</v>
      </c>
      <c r="D66" s="756">
        <f>SUM('107(b)'!D66*1.1)</f>
        <v>0</v>
      </c>
      <c r="E66" s="756">
        <f>SUM('107(b)'!E66*1.1)</f>
        <v>25.423200000000001</v>
      </c>
      <c r="F66" s="756">
        <f>SUM('107(b)'!F66*1.1)</f>
        <v>1.456785</v>
      </c>
      <c r="G66" s="756">
        <f>SUM('107(b)'!G66*1.1)</f>
        <v>1.456785</v>
      </c>
      <c r="H66" s="756">
        <f>SUM('107(b)'!H66*1.1)</f>
        <v>2.91357</v>
      </c>
      <c r="I66" s="756">
        <f>SUM('107(b)'!I66*1.1)</f>
        <v>3.9732000000000003</v>
      </c>
      <c r="J66" s="756">
        <f>SUM('107(b)'!J66*1.1)</f>
        <v>0</v>
      </c>
      <c r="K66" s="756">
        <f>SUM('107(b)'!K66*1.1)</f>
        <v>3.9732000000000003</v>
      </c>
      <c r="L66" s="756">
        <f>SUM('107(b)'!L66*1.1)</f>
        <v>1.012</v>
      </c>
      <c r="M66" s="756">
        <f>SUM('107(b)'!M66*1.1)</f>
        <v>0</v>
      </c>
      <c r="N66" s="756">
        <f>SUM('107(b)'!N66*1.1)</f>
        <v>1.012</v>
      </c>
      <c r="O66" s="756">
        <f>SUM('107(b)'!O66*1.1)</f>
        <v>33.321970000000007</v>
      </c>
      <c r="P66" s="767">
        <v>8.4000000000000005E-2</v>
      </c>
      <c r="Q66" s="767">
        <v>9.1999999999999998E-2</v>
      </c>
    </row>
    <row r="67" spans="1:19" ht="25.5">
      <c r="A67" s="755">
        <v>2</v>
      </c>
      <c r="B67" s="750" t="s">
        <v>1159</v>
      </c>
      <c r="C67" s="756">
        <f>SUM('107(b)'!C67*1.1)</f>
        <v>20.630500000000001</v>
      </c>
      <c r="D67" s="756">
        <f>SUM('107(b)'!D67*1.1)</f>
        <v>0</v>
      </c>
      <c r="E67" s="756">
        <f>SUM('107(b)'!E67*1.1)</f>
        <v>20.630500000000001</v>
      </c>
      <c r="F67" s="756">
        <f>SUM('107(b)'!F67*1.1)</f>
        <v>5.0311800000000009</v>
      </c>
      <c r="G67" s="756">
        <f>SUM('107(b)'!G67*1.1)</f>
        <v>5.0311800000000009</v>
      </c>
      <c r="H67" s="756">
        <f>SUM('107(b)'!H67*1.1)</f>
        <v>10.062360000000002</v>
      </c>
      <c r="I67" s="756">
        <f>SUM('107(b)'!I67*1.1)</f>
        <v>2.7720000000000002</v>
      </c>
      <c r="J67" s="756">
        <f>SUM('107(b)'!J67*1.1)</f>
        <v>0</v>
      </c>
      <c r="K67" s="756">
        <f>SUM('107(b)'!K67*1.1)</f>
        <v>2.7720000000000002</v>
      </c>
      <c r="L67" s="756">
        <f>SUM('107(b)'!L67*1.1)</f>
        <v>2.8336000000000001</v>
      </c>
      <c r="M67" s="756">
        <f>SUM('107(b)'!M67*1.1)</f>
        <v>0</v>
      </c>
      <c r="N67" s="756">
        <f>SUM('107(b)'!N67*1.1)</f>
        <v>2.8336000000000001</v>
      </c>
      <c r="O67" s="756">
        <f>SUM('107(b)'!O67*1.1)</f>
        <v>36.298459999999999</v>
      </c>
      <c r="P67" s="767">
        <v>8.4000000000000005E-2</v>
      </c>
      <c r="Q67" s="767">
        <v>9.1999999999999998E-2</v>
      </c>
    </row>
    <row r="68" spans="1:19" ht="25.5">
      <c r="A68" s="755">
        <v>3</v>
      </c>
      <c r="B68" s="751" t="s">
        <v>1160</v>
      </c>
      <c r="C68" s="756">
        <f>SUM('107(b)'!C68*1.1)</f>
        <v>0</v>
      </c>
      <c r="D68" s="756">
        <f>SUM('107(b)'!D68*1.1)</f>
        <v>0</v>
      </c>
      <c r="E68" s="756">
        <f>SUM('107(b)'!E68*1.1)</f>
        <v>0</v>
      </c>
      <c r="F68" s="756">
        <f>SUM('107(b)'!F68*1.1)</f>
        <v>1.8164850000000003</v>
      </c>
      <c r="G68" s="756">
        <f>SUM('107(b)'!G68*1.1)</f>
        <v>1.8164850000000003</v>
      </c>
      <c r="H68" s="756">
        <f>SUM('107(b)'!H68*1.1)</f>
        <v>3.6329700000000007</v>
      </c>
      <c r="I68" s="756">
        <f>SUM('107(b)'!I68*1.1)</f>
        <v>3.0492000000000004</v>
      </c>
      <c r="J68" s="756">
        <f>SUM('107(b)'!J68*1.1)</f>
        <v>0</v>
      </c>
      <c r="K68" s="756">
        <f>SUM('107(b)'!K68*1.1)</f>
        <v>3.0492000000000004</v>
      </c>
      <c r="L68" s="756">
        <f>SUM('107(b)'!L68*1.1)</f>
        <v>1.8216000000000001</v>
      </c>
      <c r="M68" s="756">
        <f>SUM('107(b)'!M68*1.1)</f>
        <v>0</v>
      </c>
      <c r="N68" s="756">
        <f>SUM('107(b)'!N68*1.1)</f>
        <v>1.8216000000000001</v>
      </c>
      <c r="O68" s="756">
        <f>SUM('107(b)'!O68*1.1)</f>
        <v>8.5037700000000012</v>
      </c>
      <c r="P68" s="767">
        <v>8.4000000000000005E-2</v>
      </c>
      <c r="Q68" s="767">
        <v>9.1999999999999998E-2</v>
      </c>
    </row>
    <row r="69" spans="1:19" ht="25.5">
      <c r="A69" s="755">
        <v>4</v>
      </c>
      <c r="B69" s="751" t="s">
        <v>1161</v>
      </c>
      <c r="C69" s="756">
        <f>SUM('107(b)'!C69*1.1)</f>
        <v>0</v>
      </c>
      <c r="D69" s="756">
        <f>SUM('107(b)'!D69*1.1)</f>
        <v>0</v>
      </c>
      <c r="E69" s="756">
        <f>SUM('107(b)'!E69*1.1)</f>
        <v>0</v>
      </c>
      <c r="F69" s="756">
        <f>SUM('107(b)'!F69*1.1)</f>
        <v>1.9603650000000001</v>
      </c>
      <c r="G69" s="756">
        <f>SUM('107(b)'!G69*1.1)</f>
        <v>1.9603650000000001</v>
      </c>
      <c r="H69" s="756">
        <f>SUM('107(b)'!H69*1.1)</f>
        <v>3.9207300000000003</v>
      </c>
      <c r="I69" s="756">
        <f>SUM('107(b)'!I69*1.1)</f>
        <v>1.8480000000000003</v>
      </c>
      <c r="J69" s="756">
        <f>SUM('107(b)'!J69*1.1)</f>
        <v>0</v>
      </c>
      <c r="K69" s="756">
        <f>SUM('107(b)'!K69*1.1)</f>
        <v>1.8480000000000003</v>
      </c>
      <c r="L69" s="756">
        <f>SUM('107(b)'!L69*1.1)</f>
        <v>0</v>
      </c>
      <c r="M69" s="756">
        <f>SUM('107(b)'!M69*1.1)</f>
        <v>0</v>
      </c>
      <c r="N69" s="756">
        <f>SUM('107(b)'!N69*1.1)</f>
        <v>0</v>
      </c>
      <c r="O69" s="756">
        <f>SUM('107(b)'!O69*1.1)</f>
        <v>5.7687300000000006</v>
      </c>
      <c r="P69" s="767">
        <v>8.4000000000000005E-2</v>
      </c>
      <c r="Q69" s="767">
        <v>9.1999999999999998E-2</v>
      </c>
    </row>
    <row r="70" spans="1:19" ht="25.5">
      <c r="A70" s="755">
        <v>5</v>
      </c>
      <c r="B70" s="751" t="s">
        <v>1162</v>
      </c>
      <c r="C70" s="756">
        <f>SUM('107(b)'!C70*1.1)</f>
        <v>14.766840000000002</v>
      </c>
      <c r="D70" s="756">
        <f>SUM('107(b)'!D70*1.1)</f>
        <v>0</v>
      </c>
      <c r="E70" s="756">
        <f>SUM('107(b)'!E70*1.1)</f>
        <v>14.766840000000002</v>
      </c>
      <c r="F70" s="756">
        <f>SUM('107(b)'!F70*1.1)</f>
        <v>2.2840950000000002</v>
      </c>
      <c r="G70" s="756">
        <f>SUM('107(b)'!G70*1.1)</f>
        <v>2.2840950000000002</v>
      </c>
      <c r="H70" s="756">
        <f>SUM('107(b)'!H70*1.1)</f>
        <v>4.5681900000000004</v>
      </c>
      <c r="I70" s="756">
        <f>SUM('107(b)'!I70*1.1)</f>
        <v>0</v>
      </c>
      <c r="J70" s="756">
        <f>SUM('107(b)'!J70*1.1)</f>
        <v>0</v>
      </c>
      <c r="K70" s="756">
        <f>SUM('107(b)'!K70*1.1)</f>
        <v>0</v>
      </c>
      <c r="L70" s="756">
        <f>SUM('107(b)'!L70*1.1)</f>
        <v>0</v>
      </c>
      <c r="M70" s="756">
        <f>SUM('107(b)'!M70*1.1)</f>
        <v>0</v>
      </c>
      <c r="N70" s="756">
        <f>SUM('107(b)'!N70*1.1)</f>
        <v>0</v>
      </c>
      <c r="O70" s="756">
        <f>SUM('107(b)'!O70*1.1)</f>
        <v>19.335030000000003</v>
      </c>
      <c r="P70" s="767">
        <v>8.4000000000000005E-2</v>
      </c>
      <c r="Q70" s="767">
        <v>9.1999999999999998E-2</v>
      </c>
    </row>
    <row r="71" spans="1:19" ht="20.100000000000001" customHeight="1">
      <c r="A71" s="1541" t="s">
        <v>893</v>
      </c>
      <c r="B71" s="1541"/>
      <c r="C71" s="760">
        <f t="shared" ref="C71:O71" si="8">SUM(C66:C70)</f>
        <v>60.820540000000008</v>
      </c>
      <c r="D71" s="760">
        <f t="shared" si="8"/>
        <v>0</v>
      </c>
      <c r="E71" s="760">
        <f t="shared" si="8"/>
        <v>60.820540000000008</v>
      </c>
      <c r="F71" s="760">
        <f t="shared" si="8"/>
        <v>12.548910000000001</v>
      </c>
      <c r="G71" s="760">
        <f t="shared" si="8"/>
        <v>12.548910000000001</v>
      </c>
      <c r="H71" s="760">
        <f t="shared" si="8"/>
        <v>25.097820000000002</v>
      </c>
      <c r="I71" s="760">
        <f t="shared" si="8"/>
        <v>11.642400000000002</v>
      </c>
      <c r="J71" s="760">
        <f t="shared" si="8"/>
        <v>0</v>
      </c>
      <c r="K71" s="760">
        <f t="shared" si="8"/>
        <v>11.642400000000002</v>
      </c>
      <c r="L71" s="760">
        <f t="shared" si="8"/>
        <v>5.6672000000000002</v>
      </c>
      <c r="M71" s="760">
        <f t="shared" si="8"/>
        <v>0</v>
      </c>
      <c r="N71" s="760">
        <f t="shared" si="8"/>
        <v>5.6672000000000002</v>
      </c>
      <c r="O71" s="760">
        <f t="shared" si="8"/>
        <v>103.22796000000001</v>
      </c>
      <c r="P71" s="767">
        <v>8.4000000000000005E-2</v>
      </c>
      <c r="Q71" s="767">
        <v>9.1999999999999998E-2</v>
      </c>
    </row>
    <row r="72" spans="1:19" ht="20.100000000000001" customHeight="1">
      <c r="A72" s="1395" t="s">
        <v>878</v>
      </c>
      <c r="B72" s="1395"/>
      <c r="C72" s="1497" t="s">
        <v>1367</v>
      </c>
      <c r="D72" s="1498"/>
      <c r="E72" s="1498"/>
      <c r="F72" s="1498"/>
      <c r="G72" s="1498"/>
      <c r="H72" s="1498"/>
      <c r="I72" s="1499"/>
      <c r="J72" s="1499"/>
      <c r="K72" s="1499"/>
      <c r="L72" s="1499"/>
      <c r="M72" s="1499"/>
      <c r="N72" s="1499"/>
      <c r="O72" s="1500"/>
      <c r="P72" s="774"/>
      <c r="Q72" s="774"/>
    </row>
    <row r="73" spans="1:19" ht="20.100000000000001" customHeight="1">
      <c r="A73" s="1395"/>
      <c r="B73" s="1395"/>
      <c r="C73" s="1501" t="s">
        <v>154</v>
      </c>
      <c r="D73" s="1502" t="s">
        <v>155</v>
      </c>
      <c r="E73" s="1503"/>
      <c r="F73" s="1504" t="s">
        <v>156</v>
      </c>
      <c r="G73" s="1505"/>
      <c r="H73" s="1506"/>
      <c r="I73" s="1507" t="s">
        <v>880</v>
      </c>
      <c r="J73" s="1508"/>
      <c r="K73" s="1509"/>
      <c r="L73" s="1501" t="s">
        <v>136</v>
      </c>
      <c r="M73" s="1502"/>
      <c r="N73" s="1503"/>
      <c r="O73" s="1510" t="s">
        <v>138</v>
      </c>
      <c r="P73" s="771"/>
      <c r="Q73" s="771"/>
    </row>
    <row r="74" spans="1:19" ht="40.5" customHeight="1">
      <c r="A74" s="1395"/>
      <c r="B74" s="1395"/>
      <c r="C74" s="229" t="s">
        <v>882</v>
      </c>
      <c r="D74" s="230" t="s">
        <v>883</v>
      </c>
      <c r="E74" s="24" t="s">
        <v>138</v>
      </c>
      <c r="F74" s="229" t="s">
        <v>882</v>
      </c>
      <c r="G74" s="230" t="s">
        <v>883</v>
      </c>
      <c r="H74" s="24" t="s">
        <v>138</v>
      </c>
      <c r="I74" s="229" t="s">
        <v>882</v>
      </c>
      <c r="J74" s="230" t="s">
        <v>883</v>
      </c>
      <c r="K74" s="24" t="s">
        <v>138</v>
      </c>
      <c r="L74" s="229" t="s">
        <v>882</v>
      </c>
      <c r="M74" s="230" t="s">
        <v>883</v>
      </c>
      <c r="N74" s="24" t="s">
        <v>138</v>
      </c>
      <c r="O74" s="1511"/>
      <c r="P74" s="771"/>
      <c r="Q74" s="771"/>
    </row>
    <row r="75" spans="1:19" ht="20.100000000000001" customHeight="1">
      <c r="A75" s="1534" t="s">
        <v>879</v>
      </c>
      <c r="B75" s="1535"/>
      <c r="C75" s="748"/>
      <c r="D75" s="748"/>
      <c r="E75" s="749"/>
      <c r="F75" s="748"/>
      <c r="G75" s="748"/>
      <c r="H75" s="749"/>
      <c r="I75" s="748"/>
      <c r="J75" s="748"/>
      <c r="K75" s="749"/>
      <c r="L75" s="748"/>
      <c r="M75" s="748"/>
      <c r="N75" s="749"/>
      <c r="O75" s="748"/>
      <c r="P75" s="773"/>
      <c r="Q75" s="773"/>
    </row>
    <row r="76" spans="1:19" s="8" customFormat="1" ht="20.100000000000001" customHeight="1">
      <c r="A76" s="731">
        <v>1</v>
      </c>
      <c r="B76" s="732"/>
      <c r="C76" s="733"/>
      <c r="D76" s="733"/>
      <c r="E76" s="734">
        <f>C76+D76</f>
        <v>0</v>
      </c>
      <c r="F76" s="733"/>
      <c r="G76" s="733"/>
      <c r="H76" s="734">
        <f>F76+G76</f>
        <v>0</v>
      </c>
      <c r="I76" s="733"/>
      <c r="J76" s="733"/>
      <c r="K76" s="734">
        <f>I76+J76</f>
        <v>0</v>
      </c>
      <c r="L76" s="733"/>
      <c r="M76" s="733"/>
      <c r="N76" s="734">
        <f>L76+M76</f>
        <v>0</v>
      </c>
      <c r="O76" s="735">
        <f>M76+N76</f>
        <v>0</v>
      </c>
      <c r="P76" s="775"/>
      <c r="Q76" s="775"/>
      <c r="S76" s="765"/>
    </row>
    <row r="77" spans="1:19" s="8" customFormat="1" ht="20.100000000000001" customHeight="1">
      <c r="A77" s="736">
        <v>2</v>
      </c>
      <c r="B77" s="752"/>
      <c r="C77" s="737"/>
      <c r="D77" s="737"/>
      <c r="E77" s="738">
        <f>C77+D77</f>
        <v>0</v>
      </c>
      <c r="F77" s="737"/>
      <c r="G77" s="737"/>
      <c r="H77" s="738">
        <f>F77+G77</f>
        <v>0</v>
      </c>
      <c r="I77" s="737"/>
      <c r="J77" s="737"/>
      <c r="K77" s="738">
        <f>I77+J77</f>
        <v>0</v>
      </c>
      <c r="L77" s="737"/>
      <c r="M77" s="737"/>
      <c r="N77" s="738">
        <f>L77+M77</f>
        <v>0</v>
      </c>
      <c r="O77" s="739">
        <f>M77+N77</f>
        <v>0</v>
      </c>
      <c r="P77" s="775"/>
      <c r="Q77" s="775"/>
      <c r="S77" s="765"/>
    </row>
    <row r="78" spans="1:19" s="8" customFormat="1" ht="20.100000000000001" customHeight="1">
      <c r="A78" s="736">
        <v>3</v>
      </c>
      <c r="B78" s="752"/>
      <c r="C78" s="737"/>
      <c r="D78" s="737"/>
      <c r="E78" s="738">
        <f t="shared" ref="E78:E81" si="9">C78+D78</f>
        <v>0</v>
      </c>
      <c r="F78" s="737"/>
      <c r="G78" s="737"/>
      <c r="H78" s="738">
        <f t="shared" ref="H78:H81" si="10">F78+G78</f>
        <v>0</v>
      </c>
      <c r="I78" s="737"/>
      <c r="J78" s="737"/>
      <c r="K78" s="738">
        <f t="shared" ref="K78:K81" si="11">I78+J78</f>
        <v>0</v>
      </c>
      <c r="L78" s="737"/>
      <c r="M78" s="737"/>
      <c r="N78" s="738">
        <f t="shared" ref="N78:O81" si="12">L78+M78</f>
        <v>0</v>
      </c>
      <c r="O78" s="739">
        <f t="shared" si="12"/>
        <v>0</v>
      </c>
      <c r="P78" s="775"/>
      <c r="Q78" s="775"/>
      <c r="S78" s="765"/>
    </row>
    <row r="79" spans="1:19" s="8" customFormat="1" ht="20.100000000000001" customHeight="1">
      <c r="A79" s="736">
        <v>4</v>
      </c>
      <c r="B79" s="752"/>
      <c r="C79" s="737"/>
      <c r="D79" s="737"/>
      <c r="E79" s="738">
        <f t="shared" si="9"/>
        <v>0</v>
      </c>
      <c r="F79" s="737"/>
      <c r="G79" s="737"/>
      <c r="H79" s="738">
        <f t="shared" si="10"/>
        <v>0</v>
      </c>
      <c r="I79" s="737"/>
      <c r="J79" s="737"/>
      <c r="K79" s="738">
        <f t="shared" si="11"/>
        <v>0</v>
      </c>
      <c r="L79" s="737"/>
      <c r="M79" s="737"/>
      <c r="N79" s="738">
        <f t="shared" si="12"/>
        <v>0</v>
      </c>
      <c r="O79" s="739">
        <f t="shared" si="12"/>
        <v>0</v>
      </c>
      <c r="P79" s="775"/>
      <c r="Q79" s="775"/>
      <c r="S79" s="765"/>
    </row>
    <row r="80" spans="1:19" s="8" customFormat="1" ht="20.100000000000001" customHeight="1">
      <c r="A80" s="736">
        <v>5</v>
      </c>
      <c r="B80" s="752"/>
      <c r="C80" s="737"/>
      <c r="D80" s="737"/>
      <c r="E80" s="738">
        <f t="shared" si="9"/>
        <v>0</v>
      </c>
      <c r="F80" s="737"/>
      <c r="G80" s="737"/>
      <c r="H80" s="738">
        <f t="shared" si="10"/>
        <v>0</v>
      </c>
      <c r="I80" s="737"/>
      <c r="J80" s="737"/>
      <c r="K80" s="738">
        <f t="shared" si="11"/>
        <v>0</v>
      </c>
      <c r="L80" s="737"/>
      <c r="M80" s="737"/>
      <c r="N80" s="738">
        <f t="shared" si="12"/>
        <v>0</v>
      </c>
      <c r="O80" s="739">
        <f t="shared" si="12"/>
        <v>0</v>
      </c>
      <c r="P80" s="775"/>
      <c r="Q80" s="775"/>
      <c r="S80" s="765"/>
    </row>
    <row r="81" spans="1:19" s="8" customFormat="1" ht="20.100000000000001" customHeight="1">
      <c r="A81" s="740">
        <v>6</v>
      </c>
      <c r="B81" s="753"/>
      <c r="C81" s="741"/>
      <c r="D81" s="741"/>
      <c r="E81" s="742">
        <f t="shared" si="9"/>
        <v>0</v>
      </c>
      <c r="F81" s="741"/>
      <c r="G81" s="741"/>
      <c r="H81" s="742">
        <f t="shared" si="10"/>
        <v>0</v>
      </c>
      <c r="I81" s="741"/>
      <c r="J81" s="741"/>
      <c r="K81" s="742">
        <f t="shared" si="11"/>
        <v>0</v>
      </c>
      <c r="L81" s="741"/>
      <c r="M81" s="741"/>
      <c r="N81" s="742">
        <f t="shared" si="12"/>
        <v>0</v>
      </c>
      <c r="O81" s="743">
        <f t="shared" si="12"/>
        <v>0</v>
      </c>
      <c r="P81" s="775"/>
      <c r="Q81" s="775"/>
      <c r="S81" s="765"/>
    </row>
    <row r="82" spans="1:19" ht="20.100000000000001" customHeight="1">
      <c r="A82" s="1536" t="s">
        <v>893</v>
      </c>
      <c r="B82" s="1537"/>
      <c r="C82" s="744">
        <f>SUM(C76:C80)</f>
        <v>0</v>
      </c>
      <c r="D82" s="745">
        <f>SUM(D76:D80)</f>
        <v>0</v>
      </c>
      <c r="E82" s="746">
        <f>C82+D82</f>
        <v>0</v>
      </c>
      <c r="F82" s="744">
        <f>SUM(F76:F80)</f>
        <v>0</v>
      </c>
      <c r="G82" s="745">
        <f>SUM(G76:G80)</f>
        <v>0</v>
      </c>
      <c r="H82" s="746">
        <f>F82+G82</f>
        <v>0</v>
      </c>
      <c r="I82" s="744">
        <f>SUM(I76:I80)</f>
        <v>0</v>
      </c>
      <c r="J82" s="745">
        <f>SUM(J76:J80)</f>
        <v>0</v>
      </c>
      <c r="K82" s="746">
        <f>I82+J82</f>
        <v>0</v>
      </c>
      <c r="L82" s="744">
        <f>SUM(L76:L80)</f>
        <v>0</v>
      </c>
      <c r="M82" s="745">
        <f>SUM(M76:M80)</f>
        <v>0</v>
      </c>
      <c r="N82" s="746">
        <f>L82+M82</f>
        <v>0</v>
      </c>
      <c r="O82" s="747">
        <f>E82+H82+K82+N82</f>
        <v>0</v>
      </c>
      <c r="P82" s="776"/>
      <c r="Q82" s="776"/>
    </row>
    <row r="83" spans="1:19" ht="20.100000000000001" customHeight="1">
      <c r="A83" s="1534" t="s">
        <v>149</v>
      </c>
      <c r="B83" s="1535"/>
      <c r="C83" s="748"/>
      <c r="D83" s="748"/>
      <c r="E83" s="749"/>
      <c r="F83" s="748"/>
      <c r="G83" s="748"/>
      <c r="H83" s="749"/>
      <c r="I83" s="748"/>
      <c r="J83" s="748"/>
      <c r="K83" s="749"/>
      <c r="L83" s="748"/>
      <c r="M83" s="748"/>
      <c r="N83" s="749"/>
      <c r="O83" s="748"/>
      <c r="P83" s="773"/>
      <c r="Q83" s="773"/>
    </row>
    <row r="84" spans="1:19" s="8" customFormat="1" ht="20.100000000000001" customHeight="1">
      <c r="A84" s="731">
        <v>1</v>
      </c>
      <c r="B84" s="732"/>
      <c r="C84" s="733"/>
      <c r="D84" s="733"/>
      <c r="E84" s="734">
        <f>C84+D84</f>
        <v>0</v>
      </c>
      <c r="F84" s="733"/>
      <c r="G84" s="733"/>
      <c r="H84" s="734">
        <f>F84+G84</f>
        <v>0</v>
      </c>
      <c r="I84" s="733"/>
      <c r="J84" s="733"/>
      <c r="K84" s="734">
        <f>I84+J84</f>
        <v>0</v>
      </c>
      <c r="L84" s="733"/>
      <c r="M84" s="733"/>
      <c r="N84" s="734">
        <f>L84+M84</f>
        <v>0</v>
      </c>
      <c r="O84" s="735">
        <f>M84+N84</f>
        <v>0</v>
      </c>
      <c r="P84" s="775"/>
      <c r="Q84" s="775"/>
      <c r="S84" s="765"/>
    </row>
    <row r="85" spans="1:19" s="8" customFormat="1" ht="20.100000000000001" customHeight="1">
      <c r="A85" s="736">
        <v>2</v>
      </c>
      <c r="B85" s="752"/>
      <c r="C85" s="737"/>
      <c r="D85" s="737"/>
      <c r="E85" s="738">
        <f>C85+D85</f>
        <v>0</v>
      </c>
      <c r="F85" s="737"/>
      <c r="G85" s="737"/>
      <c r="H85" s="738">
        <f>F85+G85</f>
        <v>0</v>
      </c>
      <c r="I85" s="737"/>
      <c r="J85" s="737"/>
      <c r="K85" s="738">
        <f>I85+J85</f>
        <v>0</v>
      </c>
      <c r="L85" s="737"/>
      <c r="M85" s="737"/>
      <c r="N85" s="738">
        <f>L85+M85</f>
        <v>0</v>
      </c>
      <c r="O85" s="739">
        <f>M85+N85</f>
        <v>0</v>
      </c>
      <c r="P85" s="775"/>
      <c r="Q85" s="775"/>
      <c r="S85" s="765"/>
    </row>
    <row r="86" spans="1:19" s="8" customFormat="1" ht="20.100000000000001" customHeight="1">
      <c r="A86" s="736">
        <v>3</v>
      </c>
      <c r="B86" s="752"/>
      <c r="C86" s="737"/>
      <c r="D86" s="737"/>
      <c r="E86" s="738">
        <f t="shared" ref="E86:E89" si="13">C86+D86</f>
        <v>0</v>
      </c>
      <c r="F86" s="737"/>
      <c r="G86" s="737"/>
      <c r="H86" s="738">
        <f t="shared" ref="H86:H89" si="14">F86+G86</f>
        <v>0</v>
      </c>
      <c r="I86" s="737"/>
      <c r="J86" s="737"/>
      <c r="K86" s="738">
        <f t="shared" ref="K86:K89" si="15">I86+J86</f>
        <v>0</v>
      </c>
      <c r="L86" s="737"/>
      <c r="M86" s="737"/>
      <c r="N86" s="738">
        <f t="shared" ref="N86:O89" si="16">L86+M86</f>
        <v>0</v>
      </c>
      <c r="O86" s="739">
        <f t="shared" si="16"/>
        <v>0</v>
      </c>
      <c r="P86" s="775"/>
      <c r="Q86" s="775"/>
      <c r="S86" s="765"/>
    </row>
    <row r="87" spans="1:19" s="8" customFormat="1" ht="20.100000000000001" customHeight="1">
      <c r="A87" s="736">
        <v>4</v>
      </c>
      <c r="B87" s="752"/>
      <c r="C87" s="737"/>
      <c r="D87" s="737"/>
      <c r="E87" s="738">
        <f t="shared" si="13"/>
        <v>0</v>
      </c>
      <c r="F87" s="737"/>
      <c r="G87" s="737"/>
      <c r="H87" s="738">
        <f t="shared" si="14"/>
        <v>0</v>
      </c>
      <c r="I87" s="737"/>
      <c r="J87" s="737"/>
      <c r="K87" s="738">
        <f t="shared" si="15"/>
        <v>0</v>
      </c>
      <c r="L87" s="737"/>
      <c r="M87" s="737"/>
      <c r="N87" s="738">
        <f t="shared" si="16"/>
        <v>0</v>
      </c>
      <c r="O87" s="739">
        <f t="shared" si="16"/>
        <v>0</v>
      </c>
      <c r="P87" s="775"/>
      <c r="Q87" s="775"/>
      <c r="S87" s="765"/>
    </row>
    <row r="88" spans="1:19" s="8" customFormat="1" ht="20.100000000000001" customHeight="1">
      <c r="A88" s="736">
        <v>5</v>
      </c>
      <c r="B88" s="752"/>
      <c r="C88" s="737"/>
      <c r="D88" s="737"/>
      <c r="E88" s="738">
        <f t="shared" si="13"/>
        <v>0</v>
      </c>
      <c r="F88" s="737"/>
      <c r="G88" s="737"/>
      <c r="H88" s="738">
        <f t="shared" si="14"/>
        <v>0</v>
      </c>
      <c r="I88" s="737"/>
      <c r="J88" s="737"/>
      <c r="K88" s="738">
        <f t="shared" si="15"/>
        <v>0</v>
      </c>
      <c r="L88" s="737"/>
      <c r="M88" s="737"/>
      <c r="N88" s="738">
        <f t="shared" si="16"/>
        <v>0</v>
      </c>
      <c r="O88" s="739">
        <f t="shared" si="16"/>
        <v>0</v>
      </c>
      <c r="P88" s="775"/>
      <c r="Q88" s="775"/>
      <c r="S88" s="765"/>
    </row>
    <row r="89" spans="1:19" s="8" customFormat="1" ht="20.100000000000001" customHeight="1">
      <c r="A89" s="740">
        <v>6</v>
      </c>
      <c r="B89" s="753"/>
      <c r="C89" s="741"/>
      <c r="D89" s="741"/>
      <c r="E89" s="742">
        <f t="shared" si="13"/>
        <v>0</v>
      </c>
      <c r="F89" s="741"/>
      <c r="G89" s="741"/>
      <c r="H89" s="742">
        <f t="shared" si="14"/>
        <v>0</v>
      </c>
      <c r="I89" s="741"/>
      <c r="J89" s="741"/>
      <c r="K89" s="742">
        <f t="shared" si="15"/>
        <v>0</v>
      </c>
      <c r="L89" s="741"/>
      <c r="M89" s="741"/>
      <c r="N89" s="742">
        <f t="shared" si="16"/>
        <v>0</v>
      </c>
      <c r="O89" s="743">
        <f t="shared" si="16"/>
        <v>0</v>
      </c>
      <c r="P89" s="775"/>
      <c r="Q89" s="775"/>
      <c r="S89" s="765"/>
    </row>
    <row r="90" spans="1:19" ht="20.100000000000001" customHeight="1">
      <c r="A90" s="1536" t="s">
        <v>893</v>
      </c>
      <c r="B90" s="1537"/>
      <c r="C90" s="744">
        <f>SUM(C84:C88)</f>
        <v>0</v>
      </c>
      <c r="D90" s="745">
        <f>SUM(D84:D88)</f>
        <v>0</v>
      </c>
      <c r="E90" s="746">
        <f>C90+D90</f>
        <v>0</v>
      </c>
      <c r="F90" s="744">
        <f>SUM(F84:F88)</f>
        <v>0</v>
      </c>
      <c r="G90" s="745">
        <f>SUM(G84:G88)</f>
        <v>0</v>
      </c>
      <c r="H90" s="746">
        <f>F90+G90</f>
        <v>0</v>
      </c>
      <c r="I90" s="744">
        <f>SUM(I84:I88)</f>
        <v>0</v>
      </c>
      <c r="J90" s="745">
        <f>SUM(J84:J88)</f>
        <v>0</v>
      </c>
      <c r="K90" s="746">
        <f>I90+J90</f>
        <v>0</v>
      </c>
      <c r="L90" s="744">
        <f>SUM(L84:L88)</f>
        <v>0</v>
      </c>
      <c r="M90" s="745">
        <f>SUM(M84:M88)</f>
        <v>0</v>
      </c>
      <c r="N90" s="746">
        <f>L90+M90</f>
        <v>0</v>
      </c>
      <c r="O90" s="747">
        <f>E90+H90+K90+N90</f>
        <v>0</v>
      </c>
      <c r="P90" s="776"/>
      <c r="Q90" s="776"/>
    </row>
    <row r="91" spans="1:19" ht="20.100000000000001" customHeight="1">
      <c r="A91" s="1534" t="s">
        <v>150</v>
      </c>
      <c r="B91" s="1535"/>
      <c r="C91" s="748"/>
      <c r="D91" s="748"/>
      <c r="E91" s="749"/>
      <c r="F91" s="748"/>
      <c r="G91" s="748"/>
      <c r="H91" s="749"/>
      <c r="I91" s="748"/>
      <c r="J91" s="748"/>
      <c r="K91" s="749"/>
      <c r="L91" s="748"/>
      <c r="M91" s="748"/>
      <c r="N91" s="749"/>
      <c r="O91" s="748"/>
      <c r="P91" s="773"/>
      <c r="Q91" s="773"/>
    </row>
    <row r="92" spans="1:19" s="8" customFormat="1" ht="20.100000000000001" customHeight="1">
      <c r="A92" s="731">
        <v>1</v>
      </c>
      <c r="B92" s="732"/>
      <c r="C92" s="733"/>
      <c r="D92" s="733"/>
      <c r="E92" s="734">
        <f>C92+D92</f>
        <v>0</v>
      </c>
      <c r="F92" s="733"/>
      <c r="G92" s="733"/>
      <c r="H92" s="734">
        <f>F92+G92</f>
        <v>0</v>
      </c>
      <c r="I92" s="733"/>
      <c r="J92" s="733"/>
      <c r="K92" s="734">
        <f>I92+J92</f>
        <v>0</v>
      </c>
      <c r="L92" s="733"/>
      <c r="M92" s="733"/>
      <c r="N92" s="734">
        <f>L92+M92</f>
        <v>0</v>
      </c>
      <c r="O92" s="735">
        <f>M92+N92</f>
        <v>0</v>
      </c>
      <c r="P92" s="775"/>
      <c r="Q92" s="775"/>
      <c r="S92" s="765"/>
    </row>
    <row r="93" spans="1:19" s="8" customFormat="1" ht="20.100000000000001" customHeight="1">
      <c r="A93" s="736">
        <v>2</v>
      </c>
      <c r="B93" s="752"/>
      <c r="C93" s="737"/>
      <c r="D93" s="737"/>
      <c r="E93" s="738">
        <f>C93+D93</f>
        <v>0</v>
      </c>
      <c r="F93" s="737"/>
      <c r="G93" s="737"/>
      <c r="H93" s="738">
        <f>F93+G93</f>
        <v>0</v>
      </c>
      <c r="I93" s="737"/>
      <c r="J93" s="737"/>
      <c r="K93" s="738">
        <f>I93+J93</f>
        <v>0</v>
      </c>
      <c r="L93" s="737"/>
      <c r="M93" s="737"/>
      <c r="N93" s="738">
        <f>L93+M93</f>
        <v>0</v>
      </c>
      <c r="O93" s="739">
        <f>M93+N93</f>
        <v>0</v>
      </c>
      <c r="P93" s="775"/>
      <c r="Q93" s="775"/>
      <c r="S93" s="765"/>
    </row>
    <row r="94" spans="1:19" s="8" customFormat="1" ht="20.100000000000001" customHeight="1">
      <c r="A94" s="736">
        <v>3</v>
      </c>
      <c r="B94" s="752"/>
      <c r="C94" s="737"/>
      <c r="D94" s="737"/>
      <c r="E94" s="738">
        <f t="shared" ref="E94:E97" si="17">C94+D94</f>
        <v>0</v>
      </c>
      <c r="F94" s="737"/>
      <c r="G94" s="737"/>
      <c r="H94" s="738">
        <f t="shared" ref="H94:H97" si="18">F94+G94</f>
        <v>0</v>
      </c>
      <c r="I94" s="737"/>
      <c r="J94" s="737"/>
      <c r="K94" s="738">
        <f t="shared" ref="K94:K97" si="19">I94+J94</f>
        <v>0</v>
      </c>
      <c r="L94" s="737"/>
      <c r="M94" s="737"/>
      <c r="N94" s="738">
        <f t="shared" ref="N94:O97" si="20">L94+M94</f>
        <v>0</v>
      </c>
      <c r="O94" s="739">
        <f t="shared" si="20"/>
        <v>0</v>
      </c>
      <c r="P94" s="775"/>
      <c r="Q94" s="775"/>
      <c r="S94" s="765"/>
    </row>
    <row r="95" spans="1:19" s="8" customFormat="1" ht="20.100000000000001" customHeight="1">
      <c r="A95" s="736">
        <v>4</v>
      </c>
      <c r="B95" s="752"/>
      <c r="C95" s="737"/>
      <c r="D95" s="737"/>
      <c r="E95" s="738">
        <f t="shared" si="17"/>
        <v>0</v>
      </c>
      <c r="F95" s="737"/>
      <c r="G95" s="737"/>
      <c r="H95" s="738">
        <f t="shared" si="18"/>
        <v>0</v>
      </c>
      <c r="I95" s="737"/>
      <c r="J95" s="737"/>
      <c r="K95" s="738">
        <f t="shared" si="19"/>
        <v>0</v>
      </c>
      <c r="L95" s="737"/>
      <c r="M95" s="737"/>
      <c r="N95" s="738">
        <f t="shared" si="20"/>
        <v>0</v>
      </c>
      <c r="O95" s="739">
        <f t="shared" si="20"/>
        <v>0</v>
      </c>
      <c r="P95" s="775"/>
      <c r="Q95" s="775"/>
      <c r="S95" s="765"/>
    </row>
    <row r="96" spans="1:19" s="8" customFormat="1" ht="20.100000000000001" customHeight="1">
      <c r="A96" s="736">
        <v>5</v>
      </c>
      <c r="B96" s="752"/>
      <c r="C96" s="737"/>
      <c r="D96" s="737"/>
      <c r="E96" s="738">
        <f t="shared" si="17"/>
        <v>0</v>
      </c>
      <c r="F96" s="737"/>
      <c r="G96" s="737"/>
      <c r="H96" s="738">
        <f t="shared" si="18"/>
        <v>0</v>
      </c>
      <c r="I96" s="737"/>
      <c r="J96" s="737"/>
      <c r="K96" s="738">
        <f t="shared" si="19"/>
        <v>0</v>
      </c>
      <c r="L96" s="737"/>
      <c r="M96" s="737"/>
      <c r="N96" s="738">
        <f t="shared" si="20"/>
        <v>0</v>
      </c>
      <c r="O96" s="739">
        <f t="shared" si="20"/>
        <v>0</v>
      </c>
      <c r="P96" s="775"/>
      <c r="Q96" s="775"/>
      <c r="S96" s="765"/>
    </row>
    <row r="97" spans="1:19" s="8" customFormat="1" ht="20.100000000000001" customHeight="1">
      <c r="A97" s="740">
        <v>6</v>
      </c>
      <c r="B97" s="753"/>
      <c r="C97" s="741"/>
      <c r="D97" s="741"/>
      <c r="E97" s="742">
        <f t="shared" si="17"/>
        <v>0</v>
      </c>
      <c r="F97" s="741"/>
      <c r="G97" s="741"/>
      <c r="H97" s="742">
        <f t="shared" si="18"/>
        <v>0</v>
      </c>
      <c r="I97" s="741"/>
      <c r="J97" s="741"/>
      <c r="K97" s="742">
        <f t="shared" si="19"/>
        <v>0</v>
      </c>
      <c r="L97" s="741"/>
      <c r="M97" s="741"/>
      <c r="N97" s="742">
        <f t="shared" si="20"/>
        <v>0</v>
      </c>
      <c r="O97" s="743">
        <f t="shared" si="20"/>
        <v>0</v>
      </c>
      <c r="P97" s="775"/>
      <c r="Q97" s="775"/>
      <c r="S97" s="765"/>
    </row>
    <row r="98" spans="1:19" ht="20.100000000000001" customHeight="1">
      <c r="A98" s="1536" t="s">
        <v>893</v>
      </c>
      <c r="B98" s="1537"/>
      <c r="C98" s="744">
        <f>SUM(C92:C96)</f>
        <v>0</v>
      </c>
      <c r="D98" s="745">
        <f>SUM(D92:D96)</f>
        <v>0</v>
      </c>
      <c r="E98" s="746">
        <f>C98+D98</f>
        <v>0</v>
      </c>
      <c r="F98" s="744">
        <f>SUM(F92:F96)</f>
        <v>0</v>
      </c>
      <c r="G98" s="745">
        <f>SUM(G92:G96)</f>
        <v>0</v>
      </c>
      <c r="H98" s="746">
        <f>F98+G98</f>
        <v>0</v>
      </c>
      <c r="I98" s="744">
        <f>SUM(I92:I96)</f>
        <v>0</v>
      </c>
      <c r="J98" s="745">
        <f>SUM(J92:J96)</f>
        <v>0</v>
      </c>
      <c r="K98" s="746">
        <f>I98+J98</f>
        <v>0</v>
      </c>
      <c r="L98" s="744">
        <f>SUM(L92:L96)</f>
        <v>0</v>
      </c>
      <c r="M98" s="745">
        <f>SUM(M92:M96)</f>
        <v>0</v>
      </c>
      <c r="N98" s="746">
        <f>L98+M98</f>
        <v>0</v>
      </c>
      <c r="O98" s="747">
        <f>E98+H98+K98+N98</f>
        <v>0</v>
      </c>
      <c r="P98" s="776"/>
      <c r="Q98" s="776"/>
    </row>
    <row r="99" spans="1:19" ht="20.100000000000001" customHeight="1">
      <c r="A99" s="1534" t="s">
        <v>151</v>
      </c>
      <c r="B99" s="1535"/>
      <c r="C99" s="748"/>
      <c r="D99" s="748"/>
      <c r="E99" s="749"/>
      <c r="F99" s="748"/>
      <c r="G99" s="748"/>
      <c r="H99" s="749"/>
      <c r="I99" s="748"/>
      <c r="J99" s="748"/>
      <c r="K99" s="749"/>
      <c r="L99" s="748"/>
      <c r="M99" s="748"/>
      <c r="N99" s="749"/>
      <c r="O99" s="748"/>
      <c r="P99" s="773"/>
      <c r="Q99" s="773"/>
    </row>
    <row r="100" spans="1:19" s="8" customFormat="1" ht="20.100000000000001" customHeight="1">
      <c r="A100" s="731">
        <v>1</v>
      </c>
      <c r="B100" s="732"/>
      <c r="C100" s="733"/>
      <c r="D100" s="733"/>
      <c r="E100" s="734">
        <f>C100+D100</f>
        <v>0</v>
      </c>
      <c r="F100" s="733"/>
      <c r="G100" s="733"/>
      <c r="H100" s="734">
        <f>F100+G100</f>
        <v>0</v>
      </c>
      <c r="I100" s="733"/>
      <c r="J100" s="733"/>
      <c r="K100" s="734">
        <f>I100+J100</f>
        <v>0</v>
      </c>
      <c r="L100" s="733"/>
      <c r="M100" s="733"/>
      <c r="N100" s="734">
        <f>L100+M100</f>
        <v>0</v>
      </c>
      <c r="O100" s="735">
        <f>M100+N100</f>
        <v>0</v>
      </c>
      <c r="P100" s="775"/>
      <c r="Q100" s="775"/>
      <c r="S100" s="765"/>
    </row>
    <row r="101" spans="1:19" s="8" customFormat="1" ht="20.100000000000001" customHeight="1">
      <c r="A101" s="736">
        <v>2</v>
      </c>
      <c r="B101" s="752"/>
      <c r="C101" s="737"/>
      <c r="D101" s="737"/>
      <c r="E101" s="738">
        <f>C101+D101</f>
        <v>0</v>
      </c>
      <c r="F101" s="737"/>
      <c r="G101" s="737"/>
      <c r="H101" s="738">
        <f>F101+G101</f>
        <v>0</v>
      </c>
      <c r="I101" s="737"/>
      <c r="J101" s="737"/>
      <c r="K101" s="738">
        <f>I101+J101</f>
        <v>0</v>
      </c>
      <c r="L101" s="737"/>
      <c r="M101" s="737"/>
      <c r="N101" s="738">
        <f>L101+M101</f>
        <v>0</v>
      </c>
      <c r="O101" s="739">
        <f>M101+N101</f>
        <v>0</v>
      </c>
      <c r="P101" s="775"/>
      <c r="Q101" s="775"/>
      <c r="S101" s="765"/>
    </row>
    <row r="102" spans="1:19" s="8" customFormat="1" ht="20.100000000000001" customHeight="1">
      <c r="A102" s="736">
        <v>3</v>
      </c>
      <c r="B102" s="752"/>
      <c r="C102" s="737"/>
      <c r="D102" s="737"/>
      <c r="E102" s="738">
        <f t="shared" ref="E102:E105" si="21">C102+D102</f>
        <v>0</v>
      </c>
      <c r="F102" s="737"/>
      <c r="G102" s="737"/>
      <c r="H102" s="738">
        <f t="shared" ref="H102:H105" si="22">F102+G102</f>
        <v>0</v>
      </c>
      <c r="I102" s="737"/>
      <c r="J102" s="737"/>
      <c r="K102" s="738">
        <f t="shared" ref="K102:K105" si="23">I102+J102</f>
        <v>0</v>
      </c>
      <c r="L102" s="737"/>
      <c r="M102" s="737"/>
      <c r="N102" s="738">
        <f t="shared" ref="N102:O105" si="24">L102+M102</f>
        <v>0</v>
      </c>
      <c r="O102" s="739">
        <f t="shared" si="24"/>
        <v>0</v>
      </c>
      <c r="P102" s="775"/>
      <c r="Q102" s="775"/>
      <c r="S102" s="765"/>
    </row>
    <row r="103" spans="1:19" s="8" customFormat="1" ht="20.100000000000001" customHeight="1">
      <c r="A103" s="736">
        <v>4</v>
      </c>
      <c r="B103" s="752"/>
      <c r="C103" s="737"/>
      <c r="D103" s="737"/>
      <c r="E103" s="738">
        <f t="shared" si="21"/>
        <v>0</v>
      </c>
      <c r="F103" s="737"/>
      <c r="G103" s="737"/>
      <c r="H103" s="738">
        <f t="shared" si="22"/>
        <v>0</v>
      </c>
      <c r="I103" s="737"/>
      <c r="J103" s="737"/>
      <c r="K103" s="738">
        <f t="shared" si="23"/>
        <v>0</v>
      </c>
      <c r="L103" s="737"/>
      <c r="M103" s="737"/>
      <c r="N103" s="738">
        <f t="shared" si="24"/>
        <v>0</v>
      </c>
      <c r="O103" s="739">
        <f t="shared" si="24"/>
        <v>0</v>
      </c>
      <c r="P103" s="775"/>
      <c r="Q103" s="775"/>
      <c r="S103" s="765"/>
    </row>
    <row r="104" spans="1:19" s="8" customFormat="1" ht="20.100000000000001" customHeight="1">
      <c r="A104" s="736">
        <v>5</v>
      </c>
      <c r="B104" s="752"/>
      <c r="C104" s="737"/>
      <c r="D104" s="737"/>
      <c r="E104" s="738">
        <f t="shared" si="21"/>
        <v>0</v>
      </c>
      <c r="F104" s="737"/>
      <c r="G104" s="737"/>
      <c r="H104" s="738">
        <f t="shared" si="22"/>
        <v>0</v>
      </c>
      <c r="I104" s="737"/>
      <c r="J104" s="737"/>
      <c r="K104" s="738">
        <f t="shared" si="23"/>
        <v>0</v>
      </c>
      <c r="L104" s="737"/>
      <c r="M104" s="737"/>
      <c r="N104" s="738">
        <f t="shared" si="24"/>
        <v>0</v>
      </c>
      <c r="O104" s="739">
        <f t="shared" si="24"/>
        <v>0</v>
      </c>
      <c r="P104" s="775"/>
      <c r="Q104" s="775"/>
      <c r="S104" s="765"/>
    </row>
    <row r="105" spans="1:19" s="8" customFormat="1" ht="20.100000000000001" customHeight="1">
      <c r="A105" s="740">
        <v>6</v>
      </c>
      <c r="B105" s="753"/>
      <c r="C105" s="741"/>
      <c r="D105" s="741"/>
      <c r="E105" s="742">
        <f t="shared" si="21"/>
        <v>0</v>
      </c>
      <c r="F105" s="741"/>
      <c r="G105" s="741"/>
      <c r="H105" s="742">
        <f t="shared" si="22"/>
        <v>0</v>
      </c>
      <c r="I105" s="741"/>
      <c r="J105" s="741"/>
      <c r="K105" s="742">
        <f t="shared" si="23"/>
        <v>0</v>
      </c>
      <c r="L105" s="741"/>
      <c r="M105" s="741"/>
      <c r="N105" s="742">
        <f t="shared" si="24"/>
        <v>0</v>
      </c>
      <c r="O105" s="743">
        <f t="shared" si="24"/>
        <v>0</v>
      </c>
      <c r="P105" s="775"/>
      <c r="Q105" s="775"/>
      <c r="S105" s="765"/>
    </row>
    <row r="106" spans="1:19" ht="20.100000000000001" customHeight="1">
      <c r="A106" s="1536" t="s">
        <v>893</v>
      </c>
      <c r="B106" s="1537"/>
      <c r="C106" s="744">
        <f>SUM(C100:C104)</f>
        <v>0</v>
      </c>
      <c r="D106" s="745">
        <f>SUM(D100:D104)</f>
        <v>0</v>
      </c>
      <c r="E106" s="746">
        <f>C106+D106</f>
        <v>0</v>
      </c>
      <c r="F106" s="744">
        <f>SUM(F100:F104)</f>
        <v>0</v>
      </c>
      <c r="G106" s="745">
        <f>SUM(G100:G104)</f>
        <v>0</v>
      </c>
      <c r="H106" s="746">
        <f>F106+G106</f>
        <v>0</v>
      </c>
      <c r="I106" s="744">
        <f>SUM(I100:I104)</f>
        <v>0</v>
      </c>
      <c r="J106" s="745">
        <f>SUM(J100:J104)</f>
        <v>0</v>
      </c>
      <c r="K106" s="746">
        <f>I106+J106</f>
        <v>0</v>
      </c>
      <c r="L106" s="744">
        <f>SUM(L100:L104)</f>
        <v>0</v>
      </c>
      <c r="M106" s="745">
        <f>SUM(M100:M104)</f>
        <v>0</v>
      </c>
      <c r="N106" s="746">
        <f>L106+M106</f>
        <v>0</v>
      </c>
      <c r="O106" s="754">
        <f>E106+H106+K106+N106</f>
        <v>0</v>
      </c>
      <c r="P106" s="776"/>
      <c r="Q106" s="776"/>
    </row>
    <row r="107" spans="1:19" ht="20.100000000000001" customHeight="1">
      <c r="A107" s="1516" t="s">
        <v>980</v>
      </c>
      <c r="B107" s="1516"/>
      <c r="C107" s="344">
        <f>C16+C33+C42+C50+C64+C82+C90+C98+C106+C71</f>
        <v>306.45736000000005</v>
      </c>
      <c r="D107" s="344">
        <f t="shared" ref="D107:O107" si="25">D16+D33+D42+D50+D64+D82+D90+D98+D106</f>
        <v>0</v>
      </c>
      <c r="E107" s="344">
        <f t="shared" si="25"/>
        <v>245.63682000000003</v>
      </c>
      <c r="F107" s="344">
        <f t="shared" si="25"/>
        <v>124.33256</v>
      </c>
      <c r="G107" s="344">
        <f t="shared" si="25"/>
        <v>113.53482250000002</v>
      </c>
      <c r="H107" s="344">
        <f t="shared" si="25"/>
        <v>237.86738250000002</v>
      </c>
      <c r="I107" s="344">
        <f t="shared" si="25"/>
        <v>135.80908000000002</v>
      </c>
      <c r="J107" s="344">
        <f t="shared" si="25"/>
        <v>0</v>
      </c>
      <c r="K107" s="344">
        <f t="shared" si="25"/>
        <v>135.80908000000002</v>
      </c>
      <c r="L107" s="344">
        <f t="shared" si="25"/>
        <v>78.834800000000016</v>
      </c>
      <c r="M107" s="344">
        <f t="shared" si="25"/>
        <v>0</v>
      </c>
      <c r="N107" s="344">
        <f t="shared" si="25"/>
        <v>78.834800000000016</v>
      </c>
      <c r="O107" s="344">
        <f t="shared" si="25"/>
        <v>698.1480825000001</v>
      </c>
      <c r="P107" s="777"/>
      <c r="Q107" s="777"/>
    </row>
    <row r="108" spans="1:19" ht="48" customHeight="1">
      <c r="A108" s="1533" t="s">
        <v>1366</v>
      </c>
      <c r="B108" s="1533"/>
      <c r="C108" s="1533"/>
      <c r="D108" s="1533"/>
      <c r="E108" s="1533"/>
      <c r="F108" s="1533"/>
      <c r="G108" s="1533"/>
      <c r="H108" s="1533"/>
      <c r="I108" s="1533"/>
      <c r="J108" s="1533"/>
      <c r="K108" s="1533"/>
      <c r="L108" s="1533"/>
      <c r="M108" s="1533"/>
      <c r="N108" s="1533"/>
      <c r="O108" s="1533"/>
      <c r="P108" s="728"/>
      <c r="Q108" s="728"/>
    </row>
    <row r="109" spans="1:19" ht="12.75">
      <c r="B109" s="1407"/>
      <c r="C109" s="1407"/>
      <c r="D109" s="1407"/>
      <c r="E109" s="1407"/>
      <c r="F109" s="1407"/>
      <c r="G109" s="1407"/>
      <c r="H109" s="1407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9" ht="15.75">
      <c r="A110" s="183" t="s">
        <v>867</v>
      </c>
      <c r="B110" s="184"/>
      <c r="C110" s="1529"/>
      <c r="D110" s="1529"/>
      <c r="E110" s="1529"/>
      <c r="F110" s="1529"/>
      <c r="G110" s="1529"/>
      <c r="H110" s="1529"/>
      <c r="I110" s="1529"/>
      <c r="J110" s="1529"/>
      <c r="K110" s="1529"/>
      <c r="L110" s="1529"/>
      <c r="M110" s="1529"/>
      <c r="N110" s="1529"/>
      <c r="O110" s="1529"/>
      <c r="P110" s="769"/>
      <c r="Q110" s="769"/>
    </row>
    <row r="111" spans="1:19">
      <c r="B111" s="228"/>
      <c r="C111" s="20"/>
      <c r="D111" s="20"/>
      <c r="E111" s="20"/>
      <c r="F111" s="20"/>
      <c r="G111" s="20"/>
      <c r="H111" s="2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9" ht="12.75" customHeight="1">
      <c r="A112" s="1517" t="s">
        <v>878</v>
      </c>
      <c r="B112" s="1517"/>
      <c r="C112" s="1497" t="s">
        <v>1367</v>
      </c>
      <c r="D112" s="1498"/>
      <c r="E112" s="1498"/>
      <c r="F112" s="1498"/>
      <c r="G112" s="1498"/>
      <c r="H112" s="1498"/>
      <c r="I112" s="1499"/>
      <c r="J112" s="1499"/>
      <c r="K112" s="1499"/>
      <c r="L112" s="1499"/>
      <c r="M112" s="1499"/>
      <c r="N112" s="1499"/>
      <c r="O112" s="1500"/>
      <c r="P112" s="770"/>
      <c r="Q112" s="770"/>
    </row>
    <row r="113" spans="1:17" ht="12.75" customHeight="1">
      <c r="A113" s="1517"/>
      <c r="B113" s="1517"/>
      <c r="C113" s="1501" t="s">
        <v>154</v>
      </c>
      <c r="D113" s="1502" t="s">
        <v>155</v>
      </c>
      <c r="E113" s="1503"/>
      <c r="F113" s="1504" t="s">
        <v>156</v>
      </c>
      <c r="G113" s="1505"/>
      <c r="H113" s="1506"/>
      <c r="I113" s="1507" t="s">
        <v>880</v>
      </c>
      <c r="J113" s="1508"/>
      <c r="K113" s="1509"/>
      <c r="L113" s="1501" t="s">
        <v>136</v>
      </c>
      <c r="M113" s="1502"/>
      <c r="N113" s="1503"/>
      <c r="O113" s="1510" t="s">
        <v>138</v>
      </c>
      <c r="P113" s="771"/>
      <c r="Q113" s="771"/>
    </row>
    <row r="114" spans="1:17" ht="45.75" customHeight="1">
      <c r="A114" s="1517"/>
      <c r="B114" s="1517"/>
      <c r="C114" s="229" t="s">
        <v>882</v>
      </c>
      <c r="D114" s="230" t="s">
        <v>883</v>
      </c>
      <c r="E114" s="24" t="s">
        <v>138</v>
      </c>
      <c r="F114" s="229" t="s">
        <v>882</v>
      </c>
      <c r="G114" s="230" t="s">
        <v>883</v>
      </c>
      <c r="H114" s="24" t="s">
        <v>138</v>
      </c>
      <c r="I114" s="229" t="s">
        <v>882</v>
      </c>
      <c r="J114" s="230" t="s">
        <v>883</v>
      </c>
      <c r="K114" s="24" t="s">
        <v>138</v>
      </c>
      <c r="L114" s="229" t="s">
        <v>882</v>
      </c>
      <c r="M114" s="230" t="s">
        <v>883</v>
      </c>
      <c r="N114" s="24" t="s">
        <v>138</v>
      </c>
      <c r="O114" s="1511"/>
      <c r="P114" s="771"/>
      <c r="Q114" s="771"/>
    </row>
    <row r="115" spans="1:17" ht="15" customHeight="1">
      <c r="A115" s="1518" t="s">
        <v>142</v>
      </c>
      <c r="B115" s="1518"/>
      <c r="C115" s="1519"/>
      <c r="D115" s="1520"/>
      <c r="E115" s="1521"/>
      <c r="F115" s="1522"/>
      <c r="G115" s="1523"/>
      <c r="H115" s="1524"/>
      <c r="I115" s="1519"/>
      <c r="J115" s="1525"/>
      <c r="K115" s="1526"/>
      <c r="L115" s="1519"/>
      <c r="M115" s="1525"/>
      <c r="N115" s="1526"/>
      <c r="O115" s="248"/>
      <c r="P115" s="772"/>
      <c r="Q115" s="772"/>
    </row>
    <row r="116" spans="1:17" ht="18.95" customHeight="1">
      <c r="A116" s="239">
        <v>1</v>
      </c>
      <c r="B116" s="241" t="str">
        <f>+B10</f>
        <v>Archaeology</v>
      </c>
      <c r="C116" s="756">
        <f>SUM('107(b)'!C116*1.1)</f>
        <v>0</v>
      </c>
      <c r="D116" s="756">
        <f>SUM('107(b)'!D116*1.1)</f>
        <v>0</v>
      </c>
      <c r="E116" s="756">
        <f>SUM('107(b)'!E116*1.1)</f>
        <v>0</v>
      </c>
      <c r="F116" s="756">
        <f>SUM('107(b)'!F116*1.1)</f>
        <v>0</v>
      </c>
      <c r="G116" s="756">
        <f>SUM('107(b)'!G116*1.1)</f>
        <v>0</v>
      </c>
      <c r="H116" s="756">
        <f>SUM('107(b)'!H116*1.1)</f>
        <v>0</v>
      </c>
      <c r="I116" s="756">
        <f>SUM('107(b)'!I116*1.1)</f>
        <v>0</v>
      </c>
      <c r="J116" s="756">
        <f>SUM('107(b)'!J116*1.1)</f>
        <v>0</v>
      </c>
      <c r="K116" s="756">
        <f>SUM('107(b)'!K116*1.1)</f>
        <v>0</v>
      </c>
      <c r="L116" s="756">
        <f>SUM('107(b)'!L116*1.1)</f>
        <v>0</v>
      </c>
      <c r="M116" s="756">
        <f>SUM('107(b)'!M116*1.1)</f>
        <v>0</v>
      </c>
      <c r="N116" s="756">
        <f>SUM('107(b)'!N116*1.1)</f>
        <v>0</v>
      </c>
      <c r="O116" s="756">
        <f>SUM('107(b)'!O116*1.1)</f>
        <v>0</v>
      </c>
      <c r="P116" s="222"/>
      <c r="Q116" s="222"/>
    </row>
    <row r="117" spans="1:17" ht="18.95" customHeight="1">
      <c r="A117" s="240">
        <v>2</v>
      </c>
      <c r="B117" s="241" t="str">
        <f t="shared" ref="B117:B121" si="26">+B11</f>
        <v>Art &amp; Desig</v>
      </c>
      <c r="C117" s="756">
        <f>SUM('107(b)'!C117*1.1)</f>
        <v>0.1386</v>
      </c>
      <c r="D117" s="756">
        <f>SUM('107(b)'!D117*1.1)</f>
        <v>0</v>
      </c>
      <c r="E117" s="756">
        <f>SUM('107(b)'!E117*1.1)</f>
        <v>0.1386</v>
      </c>
      <c r="F117" s="756">
        <f>SUM('107(b)'!F117*1.1)</f>
        <v>0</v>
      </c>
      <c r="G117" s="756">
        <f>SUM('107(b)'!G117*1.1)</f>
        <v>0</v>
      </c>
      <c r="H117" s="756">
        <f>SUM('107(b)'!H117*1.1)</f>
        <v>0</v>
      </c>
      <c r="I117" s="756">
        <f>SUM('107(b)'!I117*1.1)</f>
        <v>0</v>
      </c>
      <c r="J117" s="756">
        <f>SUM('107(b)'!J117*1.1)</f>
        <v>0</v>
      </c>
      <c r="K117" s="756">
        <f>SUM('107(b)'!K117*1.1)</f>
        <v>0</v>
      </c>
      <c r="L117" s="756">
        <f>SUM('107(b)'!L117*1.1)</f>
        <v>0</v>
      </c>
      <c r="M117" s="756">
        <f>SUM('107(b)'!M117*1.1)</f>
        <v>0</v>
      </c>
      <c r="N117" s="756">
        <f>SUM('107(b)'!N117*1.1)</f>
        <v>0</v>
      </c>
      <c r="O117" s="756">
        <f>SUM('107(b)'!O117*1.1)</f>
        <v>0.1386</v>
      </c>
      <c r="P117" s="222"/>
      <c r="Q117" s="222"/>
    </row>
    <row r="118" spans="1:17" ht="18.95" customHeight="1">
      <c r="A118" s="240">
        <v>3</v>
      </c>
      <c r="B118" s="241" t="str">
        <f t="shared" si="26"/>
        <v>English</v>
      </c>
      <c r="C118" s="756">
        <f>SUM('107(b)'!C118*1.1)</f>
        <v>2.1779999999999999</v>
      </c>
      <c r="D118" s="756">
        <f>SUM('107(b)'!D118*1.1)</f>
        <v>0</v>
      </c>
      <c r="E118" s="756">
        <f>SUM('107(b)'!E118*1.1)</f>
        <v>2.1779999999999999</v>
      </c>
      <c r="F118" s="756">
        <f>SUM('107(b)'!F118*1.1)</f>
        <v>0</v>
      </c>
      <c r="G118" s="756">
        <f>SUM('107(b)'!G118*1.1)</f>
        <v>0</v>
      </c>
      <c r="H118" s="756">
        <f>SUM('107(b)'!H118*1.1)</f>
        <v>0</v>
      </c>
      <c r="I118" s="756">
        <f>SUM('107(b)'!I118*1.1)</f>
        <v>0</v>
      </c>
      <c r="J118" s="756">
        <f>SUM('107(b)'!J118*1.1)</f>
        <v>0</v>
      </c>
      <c r="K118" s="756">
        <f>SUM('107(b)'!K118*1.1)</f>
        <v>0</v>
      </c>
      <c r="L118" s="756">
        <f>SUM('107(b)'!L118*1.1)</f>
        <v>0</v>
      </c>
      <c r="M118" s="756">
        <f>SUM('107(b)'!M118*1.1)</f>
        <v>0</v>
      </c>
      <c r="N118" s="756">
        <f>SUM('107(b)'!N118*1.1)</f>
        <v>0</v>
      </c>
      <c r="O118" s="756">
        <f>SUM('107(b)'!O118*1.1)</f>
        <v>2.1779999999999999</v>
      </c>
      <c r="P118" s="222"/>
      <c r="Q118" s="222"/>
    </row>
    <row r="119" spans="1:17" ht="18.95" customHeight="1">
      <c r="A119" s="240">
        <v>4</v>
      </c>
      <c r="B119" s="241" t="str">
        <f t="shared" si="26"/>
        <v>History</v>
      </c>
      <c r="C119" s="756">
        <f>SUM('107(b)'!C119*1.1)</f>
        <v>0</v>
      </c>
      <c r="D119" s="756">
        <f>SUM('107(b)'!D119*1.1)</f>
        <v>0</v>
      </c>
      <c r="E119" s="756">
        <f>SUM('107(b)'!E119*1.1)</f>
        <v>0</v>
      </c>
      <c r="F119" s="756">
        <f>SUM('107(b)'!F119*1.1)</f>
        <v>0</v>
      </c>
      <c r="G119" s="756">
        <f>SUM('107(b)'!G119*1.1)</f>
        <v>0</v>
      </c>
      <c r="H119" s="756">
        <f>SUM('107(b)'!H119*1.1)</f>
        <v>0</v>
      </c>
      <c r="I119" s="756">
        <f>SUM('107(b)'!I119*1.1)</f>
        <v>0</v>
      </c>
      <c r="J119" s="756">
        <f>SUM('107(b)'!J119*1.1)</f>
        <v>0</v>
      </c>
      <c r="K119" s="756">
        <f>SUM('107(b)'!K119*1.1)</f>
        <v>0</v>
      </c>
      <c r="L119" s="756">
        <f>SUM('107(b)'!L119*1.1)</f>
        <v>0</v>
      </c>
      <c r="M119" s="756">
        <f>SUM('107(b)'!M119*1.1)</f>
        <v>0</v>
      </c>
      <c r="N119" s="756">
        <f>SUM('107(b)'!N119*1.1)</f>
        <v>0</v>
      </c>
      <c r="O119" s="756">
        <f>SUM('107(b)'!O119*1.1)</f>
        <v>0</v>
      </c>
      <c r="P119" s="222"/>
      <c r="Q119" s="222"/>
    </row>
    <row r="120" spans="1:17" ht="18.95" customHeight="1">
      <c r="A120" s="240">
        <v>5</v>
      </c>
      <c r="B120" s="241" t="str">
        <f t="shared" si="26"/>
        <v>Hotel &amp; Tourism Mang</v>
      </c>
      <c r="C120" s="756">
        <f>SUM('107(b)'!C120*1.1)</f>
        <v>0</v>
      </c>
      <c r="D120" s="756">
        <f>SUM('107(b)'!D120*1.1)</f>
        <v>0</v>
      </c>
      <c r="E120" s="756">
        <f>SUM('107(b)'!E120*1.1)</f>
        <v>0</v>
      </c>
      <c r="F120" s="756">
        <f>SUM('107(b)'!F120*1.1)</f>
        <v>0</v>
      </c>
      <c r="G120" s="756">
        <f>SUM('107(b)'!G120*1.1)</f>
        <v>0</v>
      </c>
      <c r="H120" s="756">
        <f>SUM('107(b)'!H120*1.1)</f>
        <v>0</v>
      </c>
      <c r="I120" s="756">
        <f>SUM('107(b)'!I120*1.1)</f>
        <v>0</v>
      </c>
      <c r="J120" s="756">
        <f>SUM('107(b)'!J120*1.1)</f>
        <v>0</v>
      </c>
      <c r="K120" s="756">
        <f>SUM('107(b)'!K120*1.1)</f>
        <v>0</v>
      </c>
      <c r="L120" s="756">
        <f>SUM('107(b)'!L120*1.1)</f>
        <v>0</v>
      </c>
      <c r="M120" s="756">
        <f>SUM('107(b)'!M120*1.1)</f>
        <v>0</v>
      </c>
      <c r="N120" s="756">
        <f>SUM('107(b)'!N120*1.1)</f>
        <v>0</v>
      </c>
      <c r="O120" s="756">
        <f>SUM('107(b)'!O120*1.1)</f>
        <v>0</v>
      </c>
      <c r="P120" s="222"/>
      <c r="Q120" s="222"/>
    </row>
    <row r="121" spans="1:17" ht="18.95" customHeight="1">
      <c r="A121" s="269">
        <v>6</v>
      </c>
      <c r="B121" s="241" t="str">
        <f t="shared" si="26"/>
        <v>Philosophy</v>
      </c>
      <c r="C121" s="756">
        <f>SUM('107(b)'!C121*1.1)</f>
        <v>0</v>
      </c>
      <c r="D121" s="756">
        <f>SUM('107(b)'!D121*1.1)</f>
        <v>0</v>
      </c>
      <c r="E121" s="756">
        <f>SUM('107(b)'!E121*1.1)</f>
        <v>0</v>
      </c>
      <c r="F121" s="756">
        <f>SUM('107(b)'!F121*1.1)</f>
        <v>0</v>
      </c>
      <c r="G121" s="756">
        <f>SUM('107(b)'!G121*1.1)</f>
        <v>0</v>
      </c>
      <c r="H121" s="756">
        <f>SUM('107(b)'!H121*1.1)</f>
        <v>0</v>
      </c>
      <c r="I121" s="756">
        <f>SUM('107(b)'!I121*1.1)</f>
        <v>0</v>
      </c>
      <c r="J121" s="756">
        <f>SUM('107(b)'!J121*1.1)</f>
        <v>0</v>
      </c>
      <c r="K121" s="756">
        <f>SUM('107(b)'!K121*1.1)</f>
        <v>0</v>
      </c>
      <c r="L121" s="756">
        <f>SUM('107(b)'!L121*1.1)</f>
        <v>0</v>
      </c>
      <c r="M121" s="756">
        <f>SUM('107(b)'!M121*1.1)</f>
        <v>0</v>
      </c>
      <c r="N121" s="756">
        <f>SUM('107(b)'!N121*1.1)</f>
        <v>0</v>
      </c>
      <c r="O121" s="756">
        <f>SUM('107(b)'!O121*1.1)</f>
        <v>0</v>
      </c>
      <c r="P121" s="222"/>
      <c r="Q121" s="222"/>
    </row>
    <row r="122" spans="1:17" ht="20.100000000000001" customHeight="1">
      <c r="A122" s="1514" t="s">
        <v>893</v>
      </c>
      <c r="B122" s="1515"/>
      <c r="C122" s="819">
        <f>SUM(C116:C121)</f>
        <v>2.3165999999999998</v>
      </c>
      <c r="D122" s="819">
        <f t="shared" ref="D122:N122" si="27">SUM(D116:D121)</f>
        <v>0</v>
      </c>
      <c r="E122" s="819">
        <f t="shared" si="27"/>
        <v>2.3165999999999998</v>
      </c>
      <c r="F122" s="819">
        <f t="shared" si="27"/>
        <v>0</v>
      </c>
      <c r="G122" s="819">
        <f t="shared" si="27"/>
        <v>0</v>
      </c>
      <c r="H122" s="819">
        <f t="shared" si="27"/>
        <v>0</v>
      </c>
      <c r="I122" s="819">
        <f t="shared" si="27"/>
        <v>0</v>
      </c>
      <c r="J122" s="819">
        <f t="shared" si="27"/>
        <v>0</v>
      </c>
      <c r="K122" s="819">
        <f t="shared" si="27"/>
        <v>0</v>
      </c>
      <c r="L122" s="819">
        <f t="shared" si="27"/>
        <v>0</v>
      </c>
      <c r="M122" s="819">
        <f t="shared" si="27"/>
        <v>0</v>
      </c>
      <c r="N122" s="819">
        <f t="shared" si="27"/>
        <v>0</v>
      </c>
      <c r="O122" s="819">
        <f>+E122+H122+K122+N122</f>
        <v>2.3165999999999998</v>
      </c>
      <c r="P122" s="778"/>
      <c r="Q122" s="778"/>
    </row>
    <row r="123" spans="1:17" ht="15" customHeight="1">
      <c r="A123" s="1476" t="s">
        <v>147</v>
      </c>
      <c r="B123" s="1478"/>
      <c r="C123" s="27"/>
      <c r="D123" s="27"/>
      <c r="E123" s="28"/>
      <c r="F123" s="27"/>
      <c r="G123" s="27"/>
      <c r="H123" s="28"/>
      <c r="I123" s="27"/>
      <c r="J123" s="27"/>
      <c r="K123" s="28"/>
      <c r="L123" s="27"/>
      <c r="M123" s="27"/>
      <c r="N123" s="28"/>
      <c r="O123" s="27"/>
      <c r="P123" s="779"/>
      <c r="Q123" s="779"/>
    </row>
    <row r="124" spans="1:17" ht="18.95" customHeight="1">
      <c r="A124" s="239">
        <v>1</v>
      </c>
      <c r="B124" s="241" t="str">
        <f>+B18</f>
        <v>Economics</v>
      </c>
      <c r="C124" s="756">
        <f>SUM('107(b)'!C124*1.1)</f>
        <v>4.7024999999999997</v>
      </c>
      <c r="D124" s="756">
        <f>SUM('107(b)'!D124*1.1)</f>
        <v>0</v>
      </c>
      <c r="E124" s="756">
        <f>SUM('107(b)'!E124*1.1)</f>
        <v>4.7024999999999997</v>
      </c>
      <c r="F124" s="756">
        <f>SUM('107(b)'!F124*1.1)</f>
        <v>0</v>
      </c>
      <c r="G124" s="756">
        <f>SUM('107(b)'!G124*1.1)</f>
        <v>0</v>
      </c>
      <c r="H124" s="756">
        <f>SUM('107(b)'!H124*1.1)</f>
        <v>0</v>
      </c>
      <c r="I124" s="756">
        <f>SUM('107(b)'!I124*1.1)</f>
        <v>0</v>
      </c>
      <c r="J124" s="756">
        <f>SUM('107(b)'!J124*1.1)</f>
        <v>0</v>
      </c>
      <c r="K124" s="756">
        <f>SUM('107(b)'!K124*1.1)</f>
        <v>0</v>
      </c>
      <c r="L124" s="756">
        <f>SUM('107(b)'!L124*1.1)</f>
        <v>0</v>
      </c>
      <c r="M124" s="756">
        <f>SUM('107(b)'!M124*1.1)</f>
        <v>0</v>
      </c>
      <c r="N124" s="756">
        <f>SUM('107(b)'!N124*1.1)</f>
        <v>0</v>
      </c>
      <c r="O124" s="756">
        <f>SUM('107(b)'!O124*1.1)</f>
        <v>4.7024999999999997</v>
      </c>
      <c r="P124" s="222"/>
      <c r="Q124" s="222"/>
    </row>
    <row r="125" spans="1:17" ht="18.95" customHeight="1">
      <c r="A125" s="240">
        <v>2</v>
      </c>
      <c r="B125" s="241" t="str">
        <f t="shared" ref="B125:B138" si="28">+B19</f>
        <v>I.E.R.</v>
      </c>
      <c r="C125" s="756">
        <f>SUM('107(b)'!C125*1.1)</f>
        <v>0</v>
      </c>
      <c r="D125" s="756">
        <f>SUM('107(b)'!D125*1.1)</f>
        <v>0</v>
      </c>
      <c r="E125" s="756">
        <f>SUM('107(b)'!E125*1.1)</f>
        <v>0</v>
      </c>
      <c r="F125" s="756">
        <f>SUM('107(b)'!F125*1.1)</f>
        <v>0</v>
      </c>
      <c r="G125" s="756">
        <f>SUM('107(b)'!G125*1.1)</f>
        <v>0</v>
      </c>
      <c r="H125" s="756">
        <f>SUM('107(b)'!H125*1.1)</f>
        <v>0</v>
      </c>
      <c r="I125" s="756">
        <f>SUM('107(b)'!I125*1.1)</f>
        <v>0</v>
      </c>
      <c r="J125" s="756">
        <f>SUM('107(b)'!J125*1.1)</f>
        <v>0</v>
      </c>
      <c r="K125" s="756">
        <f>SUM('107(b)'!K125*1.1)</f>
        <v>0</v>
      </c>
      <c r="L125" s="756">
        <f>SUM('107(b)'!L125*1.1)</f>
        <v>0</v>
      </c>
      <c r="M125" s="756">
        <f>SUM('107(b)'!M125*1.1)</f>
        <v>0</v>
      </c>
      <c r="N125" s="756">
        <f>SUM('107(b)'!N125*1.1)</f>
        <v>0</v>
      </c>
      <c r="O125" s="756">
        <f>SUM('107(b)'!O125*1.1)</f>
        <v>0</v>
      </c>
      <c r="P125" s="222"/>
      <c r="Q125" s="222"/>
    </row>
    <row r="126" spans="1:17" ht="18.95" customHeight="1">
      <c r="A126" s="240">
        <v>3</v>
      </c>
      <c r="B126" s="241" t="str">
        <f t="shared" si="28"/>
        <v>IPCS</v>
      </c>
      <c r="C126" s="756">
        <f>SUM('107(b)'!C126*1.1)</f>
        <v>0</v>
      </c>
      <c r="D126" s="756">
        <f>SUM('107(b)'!D126*1.1)</f>
        <v>0</v>
      </c>
      <c r="E126" s="756">
        <f>SUM('107(b)'!E126*1.1)</f>
        <v>0</v>
      </c>
      <c r="F126" s="756">
        <f>SUM('107(b)'!F126*1.1)</f>
        <v>0</v>
      </c>
      <c r="G126" s="756">
        <f>SUM('107(b)'!G126*1.1)</f>
        <v>0</v>
      </c>
      <c r="H126" s="756">
        <f>SUM('107(b)'!H126*1.1)</f>
        <v>0</v>
      </c>
      <c r="I126" s="756">
        <f>SUM('107(b)'!I126*1.1)</f>
        <v>0</v>
      </c>
      <c r="J126" s="756">
        <f>SUM('107(b)'!J126*1.1)</f>
        <v>0</v>
      </c>
      <c r="K126" s="756">
        <f>SUM('107(b)'!K126*1.1)</f>
        <v>0</v>
      </c>
      <c r="L126" s="756">
        <f>SUM('107(b)'!L126*1.1)</f>
        <v>0</v>
      </c>
      <c r="M126" s="756">
        <f>SUM('107(b)'!M126*1.1)</f>
        <v>0</v>
      </c>
      <c r="N126" s="756">
        <f>SUM('107(b)'!N126*1.1)</f>
        <v>0</v>
      </c>
      <c r="O126" s="756">
        <f>SUM('107(b)'!O126*1.1)</f>
        <v>0</v>
      </c>
      <c r="P126" s="222"/>
      <c r="Q126" s="222"/>
    </row>
    <row r="127" spans="1:17" ht="18.95" customHeight="1">
      <c r="A127" s="240">
        <v>4</v>
      </c>
      <c r="B127" s="241" t="str">
        <f t="shared" si="28"/>
        <v>International Relations</v>
      </c>
      <c r="C127" s="756">
        <f>SUM('107(b)'!C127*1.1)</f>
        <v>0</v>
      </c>
      <c r="D127" s="756">
        <f>SUM('107(b)'!D127*1.1)</f>
        <v>0</v>
      </c>
      <c r="E127" s="756">
        <f>SUM('107(b)'!E127*1.1)</f>
        <v>0</v>
      </c>
      <c r="F127" s="756">
        <f>SUM('107(b)'!F127*1.1)</f>
        <v>0</v>
      </c>
      <c r="G127" s="756">
        <f>SUM('107(b)'!G127*1.1)</f>
        <v>0</v>
      </c>
      <c r="H127" s="756">
        <f>SUM('107(b)'!H127*1.1)</f>
        <v>0</v>
      </c>
      <c r="I127" s="756">
        <f>SUM('107(b)'!I127*1.1)</f>
        <v>0</v>
      </c>
      <c r="J127" s="756">
        <f>SUM('107(b)'!J127*1.1)</f>
        <v>0</v>
      </c>
      <c r="K127" s="756">
        <f>SUM('107(b)'!K127*1.1)</f>
        <v>0</v>
      </c>
      <c r="L127" s="756">
        <f>SUM('107(b)'!L127*1.1)</f>
        <v>0</v>
      </c>
      <c r="M127" s="756">
        <f>SUM('107(b)'!M127*1.1)</f>
        <v>0</v>
      </c>
      <c r="N127" s="756">
        <f>SUM('107(b)'!N127*1.1)</f>
        <v>0</v>
      </c>
      <c r="O127" s="756">
        <f>SUM('107(b)'!O127*1.1)</f>
        <v>0</v>
      </c>
      <c r="P127" s="222"/>
      <c r="Q127" s="222"/>
    </row>
    <row r="128" spans="1:17" ht="18.95" customHeight="1">
      <c r="A128" s="240">
        <v>5</v>
      </c>
      <c r="B128" s="241" t="str">
        <f t="shared" si="28"/>
        <v>Gender Studies</v>
      </c>
      <c r="C128" s="756">
        <f>SUM('107(b)'!C128*1.1)</f>
        <v>0.15400000000000003</v>
      </c>
      <c r="D128" s="756">
        <f>SUM('107(b)'!D128*1.1)</f>
        <v>0</v>
      </c>
      <c r="E128" s="756">
        <f>SUM('107(b)'!E128*1.1)</f>
        <v>0.15400000000000003</v>
      </c>
      <c r="F128" s="756">
        <f>SUM('107(b)'!F128*1.1)</f>
        <v>0</v>
      </c>
      <c r="G128" s="756">
        <f>SUM('107(b)'!G128*1.1)</f>
        <v>0</v>
      </c>
      <c r="H128" s="756">
        <f>SUM('107(b)'!H128*1.1)</f>
        <v>0</v>
      </c>
      <c r="I128" s="756">
        <f>SUM('107(b)'!I128*1.1)</f>
        <v>0</v>
      </c>
      <c r="J128" s="756">
        <f>SUM('107(b)'!J128*1.1)</f>
        <v>0</v>
      </c>
      <c r="K128" s="756">
        <f>SUM('107(b)'!K128*1.1)</f>
        <v>0</v>
      </c>
      <c r="L128" s="756">
        <f>SUM('107(b)'!L128*1.1)</f>
        <v>0</v>
      </c>
      <c r="M128" s="756">
        <f>SUM('107(b)'!M128*1.1)</f>
        <v>0</v>
      </c>
      <c r="N128" s="756">
        <f>SUM('107(b)'!N128*1.1)</f>
        <v>0</v>
      </c>
      <c r="O128" s="756">
        <f>SUM('107(b)'!O128*1.1)</f>
        <v>0.15400000000000003</v>
      </c>
      <c r="P128" s="222"/>
      <c r="Q128" s="222"/>
    </row>
    <row r="129" spans="1:17" ht="18.95" customHeight="1">
      <c r="A129" s="240">
        <v>6</v>
      </c>
      <c r="B129" s="241" t="str">
        <f t="shared" si="28"/>
        <v>Law College</v>
      </c>
      <c r="C129" s="756">
        <f>SUM('107(b)'!C129*1.1)</f>
        <v>0</v>
      </c>
      <c r="D129" s="756">
        <f>SUM('107(b)'!D129*1.1)</f>
        <v>0</v>
      </c>
      <c r="E129" s="756">
        <f>SUM('107(b)'!E129*1.1)</f>
        <v>0</v>
      </c>
      <c r="F129" s="756">
        <f>SUM('107(b)'!F129*1.1)</f>
        <v>0</v>
      </c>
      <c r="G129" s="756">
        <f>SUM('107(b)'!G129*1.1)</f>
        <v>0</v>
      </c>
      <c r="H129" s="756">
        <f>SUM('107(b)'!H129*1.1)</f>
        <v>0</v>
      </c>
      <c r="I129" s="756">
        <f>SUM('107(b)'!I129*1.1)</f>
        <v>0</v>
      </c>
      <c r="J129" s="756">
        <f>SUM('107(b)'!J129*1.1)</f>
        <v>0</v>
      </c>
      <c r="K129" s="756">
        <f>SUM('107(b)'!K129*1.1)</f>
        <v>0</v>
      </c>
      <c r="L129" s="756">
        <f>SUM('107(b)'!L129*1.1)</f>
        <v>0</v>
      </c>
      <c r="M129" s="756">
        <f>SUM('107(b)'!M129*1.1)</f>
        <v>0</v>
      </c>
      <c r="N129" s="756">
        <f>SUM('107(b)'!N129*1.1)</f>
        <v>0</v>
      </c>
      <c r="O129" s="756">
        <f>SUM('107(b)'!O129*1.1)</f>
        <v>0</v>
      </c>
      <c r="P129" s="222"/>
      <c r="Q129" s="222"/>
    </row>
    <row r="130" spans="1:17" ht="18.95" customHeight="1">
      <c r="A130" s="240">
        <v>7</v>
      </c>
      <c r="B130" s="241" t="str">
        <f t="shared" si="28"/>
        <v>Political Science</v>
      </c>
      <c r="C130" s="756">
        <f>SUM('107(b)'!C130*1.1)</f>
        <v>7.5845000000000011</v>
      </c>
      <c r="D130" s="756">
        <f>SUM('107(b)'!D130*1.1)</f>
        <v>0</v>
      </c>
      <c r="E130" s="756">
        <f>SUM('107(b)'!E130*1.1)</f>
        <v>7.5845000000000011</v>
      </c>
      <c r="F130" s="756">
        <f>SUM('107(b)'!F130*1.1)</f>
        <v>5.9459400000000011</v>
      </c>
      <c r="G130" s="756">
        <f>SUM('107(b)'!G130*1.1)</f>
        <v>0</v>
      </c>
      <c r="H130" s="756">
        <f>SUM('107(b)'!H130*1.1)</f>
        <v>5.9459400000000011</v>
      </c>
      <c r="I130" s="756">
        <f>SUM('107(b)'!I130*1.1)</f>
        <v>0</v>
      </c>
      <c r="J130" s="756">
        <f>SUM('107(b)'!J130*1.1)</f>
        <v>0</v>
      </c>
      <c r="K130" s="756">
        <f>SUM('107(b)'!K130*1.1)</f>
        <v>0</v>
      </c>
      <c r="L130" s="756">
        <f>SUM('107(b)'!L130*1.1)</f>
        <v>0</v>
      </c>
      <c r="M130" s="756">
        <f>SUM('107(b)'!M130*1.1)</f>
        <v>0</v>
      </c>
      <c r="N130" s="756">
        <f>SUM('107(b)'!N130*1.1)</f>
        <v>0</v>
      </c>
      <c r="O130" s="756">
        <f>SUM('107(b)'!O130*1.1)</f>
        <v>13.53044</v>
      </c>
      <c r="P130" s="222"/>
      <c r="Q130" s="222"/>
    </row>
    <row r="131" spans="1:17" ht="18.95" customHeight="1">
      <c r="A131" s="240">
        <v>8</v>
      </c>
      <c r="B131" s="241" t="str">
        <f t="shared" si="28"/>
        <v>Psychology</v>
      </c>
      <c r="C131" s="756">
        <f>SUM('107(b)'!C131*1.1)</f>
        <v>2.3870000000000005</v>
      </c>
      <c r="D131" s="756">
        <f>SUM('107(b)'!D131*1.1)</f>
        <v>0</v>
      </c>
      <c r="E131" s="756">
        <f>SUM('107(b)'!E131*1.1)</f>
        <v>2.3870000000000005</v>
      </c>
      <c r="F131" s="756">
        <f>SUM('107(b)'!F131*1.1)</f>
        <v>0</v>
      </c>
      <c r="G131" s="756">
        <f>SUM('107(b)'!G131*1.1)</f>
        <v>0</v>
      </c>
      <c r="H131" s="756">
        <f>SUM('107(b)'!H131*1.1)</f>
        <v>0</v>
      </c>
      <c r="I131" s="756">
        <f>SUM('107(b)'!I131*1.1)</f>
        <v>0</v>
      </c>
      <c r="J131" s="756">
        <f>SUM('107(b)'!J131*1.1)</f>
        <v>0</v>
      </c>
      <c r="K131" s="756">
        <f>SUM('107(b)'!K131*1.1)</f>
        <v>0</v>
      </c>
      <c r="L131" s="756">
        <f>SUM('107(b)'!L131*1.1)</f>
        <v>0</v>
      </c>
      <c r="M131" s="756">
        <f>SUM('107(b)'!M131*1.1)</f>
        <v>0</v>
      </c>
      <c r="N131" s="756">
        <f>SUM('107(b)'!N131*1.1)</f>
        <v>0</v>
      </c>
      <c r="O131" s="756">
        <f>SUM('107(b)'!O131*1.1)</f>
        <v>2.3870000000000005</v>
      </c>
      <c r="P131" s="222"/>
      <c r="Q131" s="222"/>
    </row>
    <row r="132" spans="1:17" ht="18.95" customHeight="1">
      <c r="A132" s="240">
        <v>9</v>
      </c>
      <c r="B132" s="241" t="str">
        <f t="shared" si="28"/>
        <v>Regional Studies</v>
      </c>
      <c r="C132" s="756">
        <f>SUM('107(b)'!C132*1.1)</f>
        <v>0</v>
      </c>
      <c r="D132" s="756">
        <f>SUM('107(b)'!D132*1.1)</f>
        <v>0</v>
      </c>
      <c r="E132" s="756">
        <f>SUM('107(b)'!E132*1.1)</f>
        <v>0</v>
      </c>
      <c r="F132" s="756">
        <f>SUM('107(b)'!F132*1.1)</f>
        <v>0</v>
      </c>
      <c r="G132" s="756">
        <f>SUM('107(b)'!G132*1.1)</f>
        <v>0</v>
      </c>
      <c r="H132" s="756">
        <f>SUM('107(b)'!H132*1.1)</f>
        <v>0</v>
      </c>
      <c r="I132" s="756">
        <f>SUM('107(b)'!I132*1.1)</f>
        <v>0</v>
      </c>
      <c r="J132" s="756">
        <f>SUM('107(b)'!J132*1.1)</f>
        <v>0</v>
      </c>
      <c r="K132" s="756">
        <f>SUM('107(b)'!K132*1.1)</f>
        <v>0</v>
      </c>
      <c r="L132" s="756">
        <f>SUM('107(b)'!L132*1.1)</f>
        <v>0</v>
      </c>
      <c r="M132" s="756">
        <f>SUM('107(b)'!M132*1.1)</f>
        <v>0</v>
      </c>
      <c r="N132" s="756">
        <f>SUM('107(b)'!N132*1.1)</f>
        <v>0</v>
      </c>
      <c r="O132" s="756">
        <f>SUM('107(b)'!O132*1.1)</f>
        <v>0</v>
      </c>
      <c r="P132" s="222"/>
      <c r="Q132" s="222"/>
    </row>
    <row r="133" spans="1:17" ht="18.95" customHeight="1">
      <c r="A133" s="240">
        <v>10</v>
      </c>
      <c r="B133" s="241" t="str">
        <f t="shared" si="28"/>
        <v>Social Anthropology</v>
      </c>
      <c r="C133" s="756">
        <f>SUM('107(b)'!C133*1.1)</f>
        <v>0</v>
      </c>
      <c r="D133" s="756">
        <f>SUM('107(b)'!D133*1.1)</f>
        <v>0</v>
      </c>
      <c r="E133" s="756">
        <f>SUM('107(b)'!E133*1.1)</f>
        <v>0</v>
      </c>
      <c r="F133" s="756">
        <f>SUM('107(b)'!F133*1.1)</f>
        <v>0</v>
      </c>
      <c r="G133" s="756">
        <f>SUM('107(b)'!G133*1.1)</f>
        <v>0</v>
      </c>
      <c r="H133" s="756">
        <f>SUM('107(b)'!H133*1.1)</f>
        <v>0</v>
      </c>
      <c r="I133" s="756">
        <f>SUM('107(b)'!I133*1.1)</f>
        <v>0</v>
      </c>
      <c r="J133" s="756">
        <f>SUM('107(b)'!J133*1.1)</f>
        <v>0</v>
      </c>
      <c r="K133" s="756">
        <f>SUM('107(b)'!K133*1.1)</f>
        <v>0</v>
      </c>
      <c r="L133" s="756">
        <f>SUM('107(b)'!L133*1.1)</f>
        <v>0</v>
      </c>
      <c r="M133" s="756">
        <f>SUM('107(b)'!M133*1.1)</f>
        <v>0</v>
      </c>
      <c r="N133" s="756">
        <f>SUM('107(b)'!N133*1.1)</f>
        <v>0</v>
      </c>
      <c r="O133" s="756">
        <f>SUM('107(b)'!O133*1.1)</f>
        <v>0</v>
      </c>
      <c r="P133" s="222"/>
      <c r="Q133" s="222"/>
    </row>
    <row r="134" spans="1:17" ht="18.95" customHeight="1">
      <c r="A134" s="240">
        <v>11</v>
      </c>
      <c r="B134" s="241" t="str">
        <f t="shared" si="28"/>
        <v>J.C.W</v>
      </c>
      <c r="C134" s="756">
        <f>SUM('107(b)'!C134*1.1)</f>
        <v>0</v>
      </c>
      <c r="D134" s="756">
        <f>SUM('107(b)'!D134*1.1)</f>
        <v>0</v>
      </c>
      <c r="E134" s="756">
        <f>SUM('107(b)'!E134*1.1)</f>
        <v>0</v>
      </c>
      <c r="F134" s="756">
        <f>SUM('107(b)'!F134*1.1)</f>
        <v>0</v>
      </c>
      <c r="G134" s="756">
        <f>SUM('107(b)'!G134*1.1)</f>
        <v>0</v>
      </c>
      <c r="H134" s="756">
        <f>SUM('107(b)'!H134*1.1)</f>
        <v>0</v>
      </c>
      <c r="I134" s="756">
        <f>SUM('107(b)'!I134*1.1)</f>
        <v>0</v>
      </c>
      <c r="J134" s="756">
        <f>SUM('107(b)'!J134*1.1)</f>
        <v>0</v>
      </c>
      <c r="K134" s="756">
        <f>SUM('107(b)'!K134*1.1)</f>
        <v>0</v>
      </c>
      <c r="L134" s="756">
        <f>SUM('107(b)'!L134*1.1)</f>
        <v>0</v>
      </c>
      <c r="M134" s="756">
        <f>SUM('107(b)'!M134*1.1)</f>
        <v>0</v>
      </c>
      <c r="N134" s="756">
        <f>SUM('107(b)'!N134*1.1)</f>
        <v>0</v>
      </c>
      <c r="O134" s="756">
        <f>SUM('107(b)'!O134*1.1)</f>
        <v>0</v>
      </c>
      <c r="P134" s="222"/>
      <c r="Q134" s="222"/>
    </row>
    <row r="135" spans="1:17" ht="18.95" customHeight="1">
      <c r="A135" s="240">
        <v>12</v>
      </c>
      <c r="B135" s="241" t="str">
        <f t="shared" si="28"/>
        <v>Criminology</v>
      </c>
      <c r="C135" s="756">
        <f>SUM('107(b)'!C135*1.1)</f>
        <v>0</v>
      </c>
      <c r="D135" s="756">
        <f>SUM('107(b)'!D135*1.1)</f>
        <v>0</v>
      </c>
      <c r="E135" s="756">
        <f>SUM('107(b)'!E135*1.1)</f>
        <v>0</v>
      </c>
      <c r="F135" s="756">
        <f>SUM('107(b)'!F135*1.1)</f>
        <v>0</v>
      </c>
      <c r="G135" s="756">
        <f>SUM('107(b)'!G135*1.1)</f>
        <v>0</v>
      </c>
      <c r="H135" s="756">
        <f>SUM('107(b)'!H135*1.1)</f>
        <v>0</v>
      </c>
      <c r="I135" s="756">
        <f>SUM('107(b)'!I135*1.1)</f>
        <v>0</v>
      </c>
      <c r="J135" s="756">
        <f>SUM('107(b)'!J135*1.1)</f>
        <v>0</v>
      </c>
      <c r="K135" s="756">
        <f>SUM('107(b)'!K135*1.1)</f>
        <v>0</v>
      </c>
      <c r="L135" s="756">
        <f>SUM('107(b)'!L135*1.1)</f>
        <v>0</v>
      </c>
      <c r="M135" s="756">
        <f>SUM('107(b)'!M135*1.1)</f>
        <v>0</v>
      </c>
      <c r="N135" s="756">
        <f>SUM('107(b)'!N135*1.1)</f>
        <v>0</v>
      </c>
      <c r="O135" s="756">
        <f>SUM('107(b)'!O135*1.1)</f>
        <v>0</v>
      </c>
      <c r="P135" s="222"/>
      <c r="Q135" s="222"/>
    </row>
    <row r="136" spans="1:17" ht="18.95" customHeight="1">
      <c r="A136" s="240">
        <v>13</v>
      </c>
      <c r="B136" s="241" t="str">
        <f t="shared" si="28"/>
        <v>Social Work</v>
      </c>
      <c r="C136" s="756">
        <f>SUM('107(b)'!C136*1.1)</f>
        <v>13.783000000000003</v>
      </c>
      <c r="D136" s="756">
        <f>SUM('107(b)'!D136*1.1)</f>
        <v>0</v>
      </c>
      <c r="E136" s="756">
        <f>SUM('107(b)'!E136*1.1)</f>
        <v>13.783000000000003</v>
      </c>
      <c r="F136" s="756">
        <f>SUM('107(b)'!F136*1.1)</f>
        <v>5.8443000000000014</v>
      </c>
      <c r="G136" s="756">
        <f>SUM('107(b)'!G136*1.1)</f>
        <v>0</v>
      </c>
      <c r="H136" s="756">
        <f>SUM('107(b)'!H136*1.1)</f>
        <v>5.8443000000000014</v>
      </c>
      <c r="I136" s="756">
        <f>SUM('107(b)'!I136*1.1)</f>
        <v>0</v>
      </c>
      <c r="J136" s="756">
        <f>SUM('107(b)'!J136*1.1)</f>
        <v>0</v>
      </c>
      <c r="K136" s="756">
        <f>SUM('107(b)'!K136*1.1)</f>
        <v>0</v>
      </c>
      <c r="L136" s="756">
        <f>SUM('107(b)'!L136*1.1)</f>
        <v>0</v>
      </c>
      <c r="M136" s="756">
        <f>SUM('107(b)'!M136*1.1)</f>
        <v>0</v>
      </c>
      <c r="N136" s="756">
        <f>SUM('107(b)'!N136*1.1)</f>
        <v>0</v>
      </c>
      <c r="O136" s="756">
        <f>SUM('107(b)'!O136*1.1)</f>
        <v>19.627300000000005</v>
      </c>
      <c r="P136" s="222"/>
      <c r="Q136" s="222"/>
    </row>
    <row r="137" spans="1:17" ht="18.95" customHeight="1">
      <c r="A137" s="240">
        <v>14</v>
      </c>
      <c r="B137" s="241" t="str">
        <f t="shared" si="28"/>
        <v>Sociology</v>
      </c>
      <c r="C137" s="756">
        <f>SUM('107(b)'!C137*1.1)</f>
        <v>0.26950000000000007</v>
      </c>
      <c r="D137" s="756">
        <f>SUM('107(b)'!D137*1.1)</f>
        <v>0</v>
      </c>
      <c r="E137" s="756">
        <f>SUM('107(b)'!E137*1.1)</f>
        <v>0.26950000000000007</v>
      </c>
      <c r="F137" s="756">
        <f>SUM('107(b)'!F137*1.1)</f>
        <v>0</v>
      </c>
      <c r="G137" s="756">
        <f>SUM('107(b)'!G137*1.1)</f>
        <v>0</v>
      </c>
      <c r="H137" s="756">
        <f>SUM('107(b)'!H137*1.1)</f>
        <v>0</v>
      </c>
      <c r="I137" s="756">
        <f>SUM('107(b)'!I137*1.1)</f>
        <v>0</v>
      </c>
      <c r="J137" s="756">
        <f>SUM('107(b)'!J137*1.1)</f>
        <v>0</v>
      </c>
      <c r="K137" s="756">
        <f>SUM('107(b)'!K137*1.1)</f>
        <v>0</v>
      </c>
      <c r="L137" s="756">
        <f>SUM('107(b)'!L137*1.1)</f>
        <v>0</v>
      </c>
      <c r="M137" s="756">
        <f>SUM('107(b)'!M137*1.1)</f>
        <v>0</v>
      </c>
      <c r="N137" s="756">
        <f>SUM('107(b)'!N137*1.1)</f>
        <v>0</v>
      </c>
      <c r="O137" s="756">
        <f>SUM('107(b)'!O137*1.1)</f>
        <v>0.26950000000000007</v>
      </c>
      <c r="P137" s="222"/>
      <c r="Q137" s="222"/>
    </row>
    <row r="138" spans="1:17" ht="18.95" customHeight="1">
      <c r="A138" s="240">
        <v>15</v>
      </c>
      <c r="B138" s="241" t="str">
        <f t="shared" si="28"/>
        <v>Distance Education</v>
      </c>
      <c r="C138" s="756">
        <f>SUM('107(b)'!C138*1.1)</f>
        <v>0</v>
      </c>
      <c r="D138" s="756">
        <f>SUM('107(b)'!D138*1.1)</f>
        <v>0</v>
      </c>
      <c r="E138" s="756">
        <f>SUM('107(b)'!E138*1.1)</f>
        <v>0</v>
      </c>
      <c r="F138" s="756">
        <f>SUM('107(b)'!F138*1.1)</f>
        <v>0</v>
      </c>
      <c r="G138" s="756">
        <f>SUM('107(b)'!G138*1.1)</f>
        <v>0</v>
      </c>
      <c r="H138" s="756">
        <f>SUM('107(b)'!H138*1.1)</f>
        <v>0</v>
      </c>
      <c r="I138" s="756">
        <f>SUM('107(b)'!I138*1.1)</f>
        <v>0</v>
      </c>
      <c r="J138" s="756">
        <f>SUM('107(b)'!J138*1.1)</f>
        <v>0</v>
      </c>
      <c r="K138" s="756">
        <f>SUM('107(b)'!K138*1.1)</f>
        <v>0</v>
      </c>
      <c r="L138" s="756">
        <f>SUM('107(b)'!L138*1.1)</f>
        <v>0</v>
      </c>
      <c r="M138" s="756">
        <f>SUM('107(b)'!M138*1.1)</f>
        <v>0</v>
      </c>
      <c r="N138" s="756">
        <f>SUM('107(b)'!N138*1.1)</f>
        <v>0</v>
      </c>
      <c r="O138" s="756">
        <f>SUM('107(b)'!O138*1.1)</f>
        <v>0</v>
      </c>
      <c r="P138" s="222"/>
      <c r="Q138" s="222"/>
    </row>
    <row r="139" spans="1:17" ht="20.100000000000001" customHeight="1">
      <c r="A139" s="1514" t="s">
        <v>893</v>
      </c>
      <c r="B139" s="1515"/>
      <c r="C139" s="819">
        <f>SUM(C124:C138)</f>
        <v>28.880500000000005</v>
      </c>
      <c r="D139" s="819">
        <f t="shared" ref="D139:N139" si="29">SUM(D124:D138)</f>
        <v>0</v>
      </c>
      <c r="E139" s="819">
        <f t="shared" si="29"/>
        <v>28.880500000000005</v>
      </c>
      <c r="F139" s="819">
        <f t="shared" si="29"/>
        <v>11.790240000000002</v>
      </c>
      <c r="G139" s="819">
        <f t="shared" si="29"/>
        <v>0</v>
      </c>
      <c r="H139" s="819">
        <f t="shared" si="29"/>
        <v>11.790240000000002</v>
      </c>
      <c r="I139" s="819">
        <f t="shared" si="29"/>
        <v>0</v>
      </c>
      <c r="J139" s="819">
        <f t="shared" si="29"/>
        <v>0</v>
      </c>
      <c r="K139" s="819">
        <f t="shared" si="29"/>
        <v>0</v>
      </c>
      <c r="L139" s="819">
        <f t="shared" si="29"/>
        <v>0</v>
      </c>
      <c r="M139" s="819">
        <f t="shared" si="29"/>
        <v>0</v>
      </c>
      <c r="N139" s="819">
        <f t="shared" si="29"/>
        <v>0</v>
      </c>
      <c r="O139" s="819">
        <f>+E139+H139+K139+N139</f>
        <v>40.670740000000009</v>
      </c>
      <c r="P139" s="778"/>
      <c r="Q139" s="778"/>
    </row>
    <row r="140" spans="1:17" ht="15" customHeight="1">
      <c r="A140" s="1476" t="str">
        <f>+A34</f>
        <v>Oriental and Islamc Studies</v>
      </c>
      <c r="B140" s="1478"/>
      <c r="C140" s="808"/>
      <c r="D140" s="808"/>
      <c r="E140" s="809"/>
      <c r="F140" s="808"/>
      <c r="G140" s="808"/>
      <c r="H140" s="809"/>
      <c r="I140" s="808"/>
      <c r="J140" s="808"/>
      <c r="K140" s="809"/>
      <c r="L140" s="808"/>
      <c r="M140" s="808"/>
      <c r="N140" s="809"/>
      <c r="O140" s="808"/>
      <c r="P140" s="779"/>
      <c r="Q140" s="779"/>
    </row>
    <row r="141" spans="1:17" ht="18.95" customHeight="1">
      <c r="A141" s="239">
        <v>1</v>
      </c>
      <c r="B141" s="241" t="str">
        <f>+B35</f>
        <v>Arabic</v>
      </c>
      <c r="C141" s="756">
        <f>SUM('107(b)'!C141*1.1)</f>
        <v>0</v>
      </c>
      <c r="D141" s="756">
        <f>SUM('107(b)'!D141*1.1)</f>
        <v>0</v>
      </c>
      <c r="E141" s="756">
        <f>SUM('107(b)'!E141*1.1)</f>
        <v>0</v>
      </c>
      <c r="F141" s="756">
        <f>SUM('107(b)'!F141*1.1)</f>
        <v>0</v>
      </c>
      <c r="G141" s="756">
        <f>SUM('107(b)'!G141*1.1)</f>
        <v>0</v>
      </c>
      <c r="H141" s="756">
        <f>SUM('107(b)'!H141*1.1)</f>
        <v>0</v>
      </c>
      <c r="I141" s="756">
        <f>SUM('107(b)'!I141*1.1)</f>
        <v>0</v>
      </c>
      <c r="J141" s="756">
        <f>SUM('107(b)'!J141*1.1)</f>
        <v>0</v>
      </c>
      <c r="K141" s="756">
        <f>SUM('107(b)'!K141*1.1)</f>
        <v>0</v>
      </c>
      <c r="L141" s="756">
        <f>SUM('107(b)'!L141*1.1)</f>
        <v>0</v>
      </c>
      <c r="M141" s="756">
        <f>SUM('107(b)'!M141*1.1)</f>
        <v>0</v>
      </c>
      <c r="N141" s="756">
        <f>SUM('107(b)'!N141*1.1)</f>
        <v>0</v>
      </c>
      <c r="O141" s="756">
        <f>SUM('107(b)'!O141*1.1)</f>
        <v>0</v>
      </c>
      <c r="P141" s="222"/>
      <c r="Q141" s="222"/>
    </row>
    <row r="142" spans="1:17" ht="18.95" customHeight="1">
      <c r="A142" s="239">
        <v>2</v>
      </c>
      <c r="B142" s="241" t="str">
        <f t="shared" ref="B142:B147" si="30">+B36</f>
        <v>Islamiyat</v>
      </c>
      <c r="C142" s="756">
        <f>SUM('107(b)'!C142*1.1)</f>
        <v>1.3475000000000001</v>
      </c>
      <c r="D142" s="756">
        <f>SUM('107(b)'!D142*1.1)</f>
        <v>0</v>
      </c>
      <c r="E142" s="756">
        <f>SUM('107(b)'!E142*1.1)</f>
        <v>1.3475000000000001</v>
      </c>
      <c r="F142" s="756">
        <f>SUM('107(b)'!F142*1.1)</f>
        <v>4.2458900000000002</v>
      </c>
      <c r="G142" s="756">
        <f>SUM('107(b)'!G142*1.1)</f>
        <v>0</v>
      </c>
      <c r="H142" s="756">
        <f>SUM('107(b)'!H142*1.1)</f>
        <v>4.2458900000000002</v>
      </c>
      <c r="I142" s="756">
        <f>SUM('107(b)'!I142*1.1)</f>
        <v>0</v>
      </c>
      <c r="J142" s="756">
        <f>SUM('107(b)'!J142*1.1)</f>
        <v>0</v>
      </c>
      <c r="K142" s="756">
        <f>SUM('107(b)'!K142*1.1)</f>
        <v>0</v>
      </c>
      <c r="L142" s="756">
        <f>SUM('107(b)'!L142*1.1)</f>
        <v>0</v>
      </c>
      <c r="M142" s="756">
        <f>SUM('107(b)'!M142*1.1)</f>
        <v>0</v>
      </c>
      <c r="N142" s="756">
        <f>SUM('107(b)'!N142*1.1)</f>
        <v>0</v>
      </c>
      <c r="O142" s="756">
        <f>SUM('107(b)'!O142*1.1)</f>
        <v>5.5933899999999994</v>
      </c>
      <c r="P142" s="222"/>
      <c r="Q142" s="222"/>
    </row>
    <row r="143" spans="1:17" ht="18.95" customHeight="1">
      <c r="A143" s="239">
        <v>3</v>
      </c>
      <c r="B143" s="241" t="str">
        <f t="shared" si="30"/>
        <v xml:space="preserve">Pashto </v>
      </c>
      <c r="C143" s="756">
        <f>SUM('107(b)'!C143*1.1)</f>
        <v>0</v>
      </c>
      <c r="D143" s="756">
        <f>SUM('107(b)'!D143*1.1)</f>
        <v>0</v>
      </c>
      <c r="E143" s="756">
        <f>SUM('107(b)'!E143*1.1)</f>
        <v>0</v>
      </c>
      <c r="F143" s="756">
        <f>SUM('107(b)'!F143*1.1)</f>
        <v>0</v>
      </c>
      <c r="G143" s="756">
        <f>SUM('107(b)'!G143*1.1)</f>
        <v>0</v>
      </c>
      <c r="H143" s="756">
        <f>SUM('107(b)'!H143*1.1)</f>
        <v>0</v>
      </c>
      <c r="I143" s="756">
        <f>SUM('107(b)'!I143*1.1)</f>
        <v>0</v>
      </c>
      <c r="J143" s="756">
        <f>SUM('107(b)'!J143*1.1)</f>
        <v>0</v>
      </c>
      <c r="K143" s="756">
        <f>SUM('107(b)'!K143*1.1)</f>
        <v>0</v>
      </c>
      <c r="L143" s="756">
        <f>SUM('107(b)'!L143*1.1)</f>
        <v>0</v>
      </c>
      <c r="M143" s="756">
        <f>SUM('107(b)'!M143*1.1)</f>
        <v>0</v>
      </c>
      <c r="N143" s="756">
        <f>SUM('107(b)'!N143*1.1)</f>
        <v>0</v>
      </c>
      <c r="O143" s="756">
        <f>SUM('107(b)'!O143*1.1)</f>
        <v>0</v>
      </c>
      <c r="P143" s="222"/>
      <c r="Q143" s="222"/>
    </row>
    <row r="144" spans="1:17" ht="18.95" customHeight="1">
      <c r="A144" s="239">
        <v>4</v>
      </c>
      <c r="B144" s="241" t="str">
        <f t="shared" si="30"/>
        <v>Pashto Academy</v>
      </c>
      <c r="C144" s="756">
        <f>SUM('107(b)'!C144*1.1)</f>
        <v>0</v>
      </c>
      <c r="D144" s="756">
        <f>SUM('107(b)'!D144*1.1)</f>
        <v>0</v>
      </c>
      <c r="E144" s="756">
        <f>SUM('107(b)'!E144*1.1)</f>
        <v>0</v>
      </c>
      <c r="F144" s="756">
        <f>SUM('107(b)'!F144*1.1)</f>
        <v>0</v>
      </c>
      <c r="G144" s="756">
        <f>SUM('107(b)'!G144*1.1)</f>
        <v>0</v>
      </c>
      <c r="H144" s="756">
        <f>SUM('107(b)'!H144*1.1)</f>
        <v>0</v>
      </c>
      <c r="I144" s="756">
        <f>SUM('107(b)'!I144*1.1)</f>
        <v>0</v>
      </c>
      <c r="J144" s="756">
        <f>SUM('107(b)'!J144*1.1)</f>
        <v>0</v>
      </c>
      <c r="K144" s="756">
        <f>SUM('107(b)'!K144*1.1)</f>
        <v>0</v>
      </c>
      <c r="L144" s="756">
        <f>SUM('107(b)'!L144*1.1)</f>
        <v>0</v>
      </c>
      <c r="M144" s="756">
        <f>SUM('107(b)'!M144*1.1)</f>
        <v>0</v>
      </c>
      <c r="N144" s="756">
        <f>SUM('107(b)'!N144*1.1)</f>
        <v>0</v>
      </c>
      <c r="O144" s="756">
        <f>SUM('107(b)'!O144*1.1)</f>
        <v>0</v>
      </c>
      <c r="P144" s="222"/>
      <c r="Q144" s="222"/>
    </row>
    <row r="145" spans="1:17" ht="18.95" customHeight="1">
      <c r="A145" s="239">
        <v>5</v>
      </c>
      <c r="B145" s="241" t="str">
        <f t="shared" si="30"/>
        <v>Persian</v>
      </c>
      <c r="C145" s="756">
        <f>SUM('107(b)'!C145*1.1)</f>
        <v>0</v>
      </c>
      <c r="D145" s="756">
        <f>SUM('107(b)'!D145*1.1)</f>
        <v>0</v>
      </c>
      <c r="E145" s="756">
        <f>SUM('107(b)'!E145*1.1)</f>
        <v>0</v>
      </c>
      <c r="F145" s="756">
        <f>SUM('107(b)'!F145*1.1)</f>
        <v>0</v>
      </c>
      <c r="G145" s="756">
        <f>SUM('107(b)'!G145*1.1)</f>
        <v>0</v>
      </c>
      <c r="H145" s="756">
        <f>SUM('107(b)'!H145*1.1)</f>
        <v>0</v>
      </c>
      <c r="I145" s="756">
        <f>SUM('107(b)'!I145*1.1)</f>
        <v>0</v>
      </c>
      <c r="J145" s="756">
        <f>SUM('107(b)'!J145*1.1)</f>
        <v>0</v>
      </c>
      <c r="K145" s="756">
        <f>SUM('107(b)'!K145*1.1)</f>
        <v>0</v>
      </c>
      <c r="L145" s="756">
        <f>SUM('107(b)'!L145*1.1)</f>
        <v>0</v>
      </c>
      <c r="M145" s="756">
        <f>SUM('107(b)'!M145*1.1)</f>
        <v>0</v>
      </c>
      <c r="N145" s="756">
        <f>SUM('107(b)'!N145*1.1)</f>
        <v>0</v>
      </c>
      <c r="O145" s="756">
        <f>SUM('107(b)'!O145*1.1)</f>
        <v>0</v>
      </c>
      <c r="P145" s="222"/>
      <c r="Q145" s="222"/>
    </row>
    <row r="146" spans="1:17" ht="18.95" customHeight="1">
      <c r="A146" s="239">
        <v>6</v>
      </c>
      <c r="B146" s="241" t="str">
        <f t="shared" si="30"/>
        <v>Seerat Studies</v>
      </c>
      <c r="C146" s="756">
        <f>SUM('107(b)'!C146*1.1)</f>
        <v>0</v>
      </c>
      <c r="D146" s="756">
        <f>SUM('107(b)'!D146*1.1)</f>
        <v>0</v>
      </c>
      <c r="E146" s="756">
        <f>SUM('107(b)'!E146*1.1)</f>
        <v>0</v>
      </c>
      <c r="F146" s="756">
        <f>SUM('107(b)'!F146*1.1)</f>
        <v>0</v>
      </c>
      <c r="G146" s="756">
        <f>SUM('107(b)'!G146*1.1)</f>
        <v>0</v>
      </c>
      <c r="H146" s="756">
        <f>SUM('107(b)'!H146*1.1)</f>
        <v>0</v>
      </c>
      <c r="I146" s="756">
        <f>SUM('107(b)'!I146*1.1)</f>
        <v>0</v>
      </c>
      <c r="J146" s="756">
        <f>SUM('107(b)'!J146*1.1)</f>
        <v>0</v>
      </c>
      <c r="K146" s="756">
        <f>SUM('107(b)'!K146*1.1)</f>
        <v>0</v>
      </c>
      <c r="L146" s="756">
        <f>SUM('107(b)'!L146*1.1)</f>
        <v>0</v>
      </c>
      <c r="M146" s="756">
        <f>SUM('107(b)'!M146*1.1)</f>
        <v>0</v>
      </c>
      <c r="N146" s="756">
        <f>SUM('107(b)'!N146*1.1)</f>
        <v>0</v>
      </c>
      <c r="O146" s="756">
        <f>SUM('107(b)'!O146*1.1)</f>
        <v>0</v>
      </c>
      <c r="P146" s="222"/>
      <c r="Q146" s="222"/>
    </row>
    <row r="147" spans="1:17" ht="18.95" customHeight="1">
      <c r="A147" s="239">
        <v>7</v>
      </c>
      <c r="B147" s="241" t="str">
        <f t="shared" si="30"/>
        <v>Urdu</v>
      </c>
      <c r="C147" s="756">
        <f>SUM('107(b)'!C147*1.1)</f>
        <v>0</v>
      </c>
      <c r="D147" s="756">
        <f>SUM('107(b)'!D147*1.1)</f>
        <v>0</v>
      </c>
      <c r="E147" s="756">
        <f>SUM('107(b)'!E147*1.1)</f>
        <v>0</v>
      </c>
      <c r="F147" s="756">
        <f>SUM('107(b)'!F147*1.1)</f>
        <v>0</v>
      </c>
      <c r="G147" s="756">
        <f>SUM('107(b)'!G147*1.1)</f>
        <v>0</v>
      </c>
      <c r="H147" s="756">
        <f>SUM('107(b)'!H147*1.1)</f>
        <v>0</v>
      </c>
      <c r="I147" s="756">
        <f>SUM('107(b)'!I147*1.1)</f>
        <v>0</v>
      </c>
      <c r="J147" s="756">
        <f>SUM('107(b)'!J147*1.1)</f>
        <v>0</v>
      </c>
      <c r="K147" s="756">
        <f>SUM('107(b)'!K147*1.1)</f>
        <v>0</v>
      </c>
      <c r="L147" s="756">
        <f>SUM('107(b)'!L147*1.1)</f>
        <v>0</v>
      </c>
      <c r="M147" s="756">
        <f>SUM('107(b)'!M147*1.1)</f>
        <v>0</v>
      </c>
      <c r="N147" s="756">
        <f>SUM('107(b)'!N147*1.1)</f>
        <v>0</v>
      </c>
      <c r="O147" s="756">
        <f>SUM('107(b)'!O147*1.1)</f>
        <v>0</v>
      </c>
      <c r="P147" s="222"/>
      <c r="Q147" s="222"/>
    </row>
    <row r="148" spans="1:17" ht="20.100000000000001" customHeight="1">
      <c r="A148" s="1514" t="s">
        <v>893</v>
      </c>
      <c r="B148" s="1515"/>
      <c r="C148" s="819">
        <f>SUM(C141:C147)</f>
        <v>1.3475000000000001</v>
      </c>
      <c r="D148" s="819">
        <f t="shared" ref="D148:O148" si="31">SUM(D141:D147)</f>
        <v>0</v>
      </c>
      <c r="E148" s="819">
        <f t="shared" si="31"/>
        <v>1.3475000000000001</v>
      </c>
      <c r="F148" s="819">
        <f t="shared" si="31"/>
        <v>4.2458900000000002</v>
      </c>
      <c r="G148" s="819">
        <f t="shared" si="31"/>
        <v>0</v>
      </c>
      <c r="H148" s="819">
        <f t="shared" si="31"/>
        <v>4.2458900000000002</v>
      </c>
      <c r="I148" s="819">
        <f t="shared" si="31"/>
        <v>0</v>
      </c>
      <c r="J148" s="819">
        <f t="shared" si="31"/>
        <v>0</v>
      </c>
      <c r="K148" s="819">
        <f t="shared" si="31"/>
        <v>0</v>
      </c>
      <c r="L148" s="819">
        <f t="shared" si="31"/>
        <v>0</v>
      </c>
      <c r="M148" s="819">
        <f t="shared" si="31"/>
        <v>0</v>
      </c>
      <c r="N148" s="819">
        <f t="shared" si="31"/>
        <v>0</v>
      </c>
      <c r="O148" s="819">
        <f t="shared" si="31"/>
        <v>5.5933899999999994</v>
      </c>
      <c r="P148" s="778"/>
      <c r="Q148" s="778"/>
    </row>
    <row r="149" spans="1:17" ht="15" customHeight="1">
      <c r="A149" s="1476" t="str">
        <f>+A43</f>
        <v>Num. &amp; Phy. Sciences</v>
      </c>
      <c r="B149" s="1478"/>
      <c r="C149" s="808"/>
      <c r="D149" s="808"/>
      <c r="E149" s="809"/>
      <c r="F149" s="808"/>
      <c r="G149" s="808"/>
      <c r="H149" s="809"/>
      <c r="I149" s="808"/>
      <c r="J149" s="808"/>
      <c r="K149" s="809"/>
      <c r="L149" s="808"/>
      <c r="M149" s="808"/>
      <c r="N149" s="809"/>
      <c r="O149" s="808"/>
      <c r="P149" s="779"/>
      <c r="Q149" s="779"/>
    </row>
    <row r="150" spans="1:17" ht="18.95" customHeight="1">
      <c r="A150" s="239">
        <v>1</v>
      </c>
      <c r="B150" s="241" t="str">
        <f>+B44</f>
        <v>Computer Science</v>
      </c>
      <c r="C150" s="756">
        <f>SUM('107(b)'!C150*1.1)</f>
        <v>4.5045000000000002</v>
      </c>
      <c r="D150" s="756">
        <f>SUM('107(b)'!D150*1.1)</f>
        <v>0</v>
      </c>
      <c r="E150" s="756">
        <f>SUM('107(b)'!E150*1.1)</f>
        <v>4.5045000000000002</v>
      </c>
      <c r="F150" s="756">
        <f>SUM('107(b)'!F150*1.1)</f>
        <v>4.5653300000000003</v>
      </c>
      <c r="G150" s="756">
        <f>SUM('107(b)'!G150*1.1)</f>
        <v>0</v>
      </c>
      <c r="H150" s="756">
        <f>SUM('107(b)'!H150*1.1)</f>
        <v>4.5653300000000003</v>
      </c>
      <c r="I150" s="756">
        <f>SUM('107(b)'!I150*1.1)</f>
        <v>0</v>
      </c>
      <c r="J150" s="756">
        <f>SUM('107(b)'!J150*1.1)</f>
        <v>0</v>
      </c>
      <c r="K150" s="756">
        <f>SUM('107(b)'!K150*1.1)</f>
        <v>0</v>
      </c>
      <c r="L150" s="756">
        <f>SUM('107(b)'!L150*1.1)</f>
        <v>0</v>
      </c>
      <c r="M150" s="756">
        <f>SUM('107(b)'!M150*1.1)</f>
        <v>0</v>
      </c>
      <c r="N150" s="756">
        <f>SUM('107(b)'!N150*1.1)</f>
        <v>0</v>
      </c>
      <c r="O150" s="756">
        <f>SUM('107(b)'!O150*1.1)</f>
        <v>9.0698300000000014</v>
      </c>
      <c r="P150" s="222"/>
      <c r="Q150" s="222"/>
    </row>
    <row r="151" spans="1:17" ht="18.95" customHeight="1">
      <c r="A151" s="240">
        <v>2</v>
      </c>
      <c r="B151" s="241" t="str">
        <f t="shared" ref="B151:B155" si="32">+B45</f>
        <v xml:space="preserve">Mathematics </v>
      </c>
      <c r="C151" s="756">
        <f>SUM('107(b)'!C151*1.1)</f>
        <v>1.5840000000000001</v>
      </c>
      <c r="D151" s="756">
        <f>SUM('107(b)'!D151*1.1)</f>
        <v>0</v>
      </c>
      <c r="E151" s="756">
        <f>SUM('107(b)'!E151*1.1)</f>
        <v>1.5840000000000001</v>
      </c>
      <c r="F151" s="756">
        <f>SUM('107(b)'!F151*1.1)</f>
        <v>7.7331100000000008</v>
      </c>
      <c r="G151" s="756">
        <f>SUM('107(b)'!G151*1.1)</f>
        <v>0</v>
      </c>
      <c r="H151" s="756">
        <f>SUM('107(b)'!H151*1.1)</f>
        <v>7.7331100000000008</v>
      </c>
      <c r="I151" s="756">
        <f>SUM('107(b)'!I151*1.1)</f>
        <v>0</v>
      </c>
      <c r="J151" s="756">
        <f>SUM('107(b)'!J151*1.1)</f>
        <v>0</v>
      </c>
      <c r="K151" s="756">
        <f>SUM('107(b)'!K151*1.1)</f>
        <v>0</v>
      </c>
      <c r="L151" s="756">
        <f>SUM('107(b)'!L151*1.1)</f>
        <v>0</v>
      </c>
      <c r="M151" s="756">
        <f>SUM('107(b)'!M151*1.1)</f>
        <v>0</v>
      </c>
      <c r="N151" s="756">
        <f>SUM('107(b)'!N151*1.1)</f>
        <v>0</v>
      </c>
      <c r="O151" s="756">
        <f>SUM('107(b)'!O151*1.1)</f>
        <v>9.3171100000000013</v>
      </c>
      <c r="P151" s="222"/>
      <c r="Q151" s="222"/>
    </row>
    <row r="152" spans="1:17" ht="18.95" customHeight="1">
      <c r="A152" s="240">
        <v>3</v>
      </c>
      <c r="B152" s="241" t="str">
        <f t="shared" si="32"/>
        <v>Physics</v>
      </c>
      <c r="C152" s="756">
        <f>SUM('107(b)'!C152*1.1)</f>
        <v>2.4750000000000001</v>
      </c>
      <c r="D152" s="756">
        <f>SUM('107(b)'!D152*1.1)</f>
        <v>0</v>
      </c>
      <c r="E152" s="756">
        <f>SUM('107(b)'!E152*1.1)</f>
        <v>2.4750000000000001</v>
      </c>
      <c r="F152" s="756">
        <f>SUM('107(b)'!F152*1.1)</f>
        <v>0</v>
      </c>
      <c r="G152" s="756">
        <f>SUM('107(b)'!G152*1.1)</f>
        <v>0</v>
      </c>
      <c r="H152" s="756">
        <f>SUM('107(b)'!H152*1.1)</f>
        <v>0</v>
      </c>
      <c r="I152" s="756">
        <f>SUM('107(b)'!I152*1.1)</f>
        <v>0</v>
      </c>
      <c r="J152" s="756">
        <f>SUM('107(b)'!J152*1.1)</f>
        <v>0</v>
      </c>
      <c r="K152" s="756">
        <f>SUM('107(b)'!K152*1.1)</f>
        <v>0</v>
      </c>
      <c r="L152" s="756">
        <f>SUM('107(b)'!L152*1.1)</f>
        <v>0</v>
      </c>
      <c r="M152" s="756">
        <f>SUM('107(b)'!M152*1.1)</f>
        <v>0</v>
      </c>
      <c r="N152" s="756">
        <f>SUM('107(b)'!N152*1.1)</f>
        <v>0</v>
      </c>
      <c r="O152" s="756">
        <f>SUM('107(b)'!O152*1.1)</f>
        <v>2.4750000000000001</v>
      </c>
      <c r="P152" s="222"/>
      <c r="Q152" s="222"/>
    </row>
    <row r="153" spans="1:17" ht="18.95" customHeight="1">
      <c r="A153" s="240">
        <v>4</v>
      </c>
      <c r="B153" s="241" t="str">
        <f t="shared" si="32"/>
        <v>Statistics</v>
      </c>
      <c r="C153" s="756">
        <f>SUM('107(b)'!C153*1.1)</f>
        <v>0</v>
      </c>
      <c r="D153" s="756">
        <f>SUM('107(b)'!D153*1.1)</f>
        <v>0</v>
      </c>
      <c r="E153" s="756">
        <f>SUM('107(b)'!E153*1.1)</f>
        <v>0</v>
      </c>
      <c r="F153" s="756">
        <f>SUM('107(b)'!F153*1.1)</f>
        <v>0</v>
      </c>
      <c r="G153" s="756">
        <f>SUM('107(b)'!G153*1.1)</f>
        <v>0</v>
      </c>
      <c r="H153" s="756">
        <f>SUM('107(b)'!H153*1.1)</f>
        <v>0</v>
      </c>
      <c r="I153" s="756">
        <f>SUM('107(b)'!I153*1.1)</f>
        <v>0</v>
      </c>
      <c r="J153" s="756">
        <f>SUM('107(b)'!J153*1.1)</f>
        <v>0</v>
      </c>
      <c r="K153" s="756">
        <f>SUM('107(b)'!K153*1.1)</f>
        <v>0</v>
      </c>
      <c r="L153" s="756">
        <f>SUM('107(b)'!L153*1.1)</f>
        <v>0</v>
      </c>
      <c r="M153" s="756">
        <f>SUM('107(b)'!M153*1.1)</f>
        <v>0</v>
      </c>
      <c r="N153" s="756">
        <f>SUM('107(b)'!N153*1.1)</f>
        <v>0</v>
      </c>
      <c r="O153" s="756">
        <f>SUM('107(b)'!O153*1.1)</f>
        <v>0</v>
      </c>
      <c r="P153" s="222"/>
      <c r="Q153" s="222"/>
    </row>
    <row r="154" spans="1:17" ht="18.95" customHeight="1">
      <c r="A154" s="240">
        <v>5</v>
      </c>
      <c r="B154" s="241" t="str">
        <f t="shared" si="32"/>
        <v>Electronics</v>
      </c>
      <c r="C154" s="756">
        <f>SUM('107(b)'!C154*1.1)</f>
        <v>0</v>
      </c>
      <c r="D154" s="756">
        <f>SUM('107(b)'!D154*1.1)</f>
        <v>0</v>
      </c>
      <c r="E154" s="756">
        <f>SUM('107(b)'!E154*1.1)</f>
        <v>0</v>
      </c>
      <c r="F154" s="756">
        <f>SUM('107(b)'!F154*1.1)</f>
        <v>0</v>
      </c>
      <c r="G154" s="756">
        <f>SUM('107(b)'!G154*1.1)</f>
        <v>0</v>
      </c>
      <c r="H154" s="756">
        <f>SUM('107(b)'!H154*1.1)</f>
        <v>0</v>
      </c>
      <c r="I154" s="756">
        <f>SUM('107(b)'!I154*1.1)</f>
        <v>0</v>
      </c>
      <c r="J154" s="756">
        <f>SUM('107(b)'!J154*1.1)</f>
        <v>0</v>
      </c>
      <c r="K154" s="756">
        <f>SUM('107(b)'!K154*1.1)</f>
        <v>0</v>
      </c>
      <c r="L154" s="756">
        <f>SUM('107(b)'!L154*1.1)</f>
        <v>0</v>
      </c>
      <c r="M154" s="756">
        <f>SUM('107(b)'!M154*1.1)</f>
        <v>0</v>
      </c>
      <c r="N154" s="756">
        <f>SUM('107(b)'!N154*1.1)</f>
        <v>0</v>
      </c>
      <c r="O154" s="756">
        <f>SUM('107(b)'!O154*1.1)</f>
        <v>0</v>
      </c>
      <c r="P154" s="222"/>
      <c r="Q154" s="222"/>
    </row>
    <row r="155" spans="1:17" ht="18.95" customHeight="1">
      <c r="A155" s="269">
        <v>6</v>
      </c>
      <c r="B155" s="241">
        <f t="shared" si="32"/>
        <v>0</v>
      </c>
      <c r="C155" s="756">
        <f>SUM('107(b)'!C155*1.1)</f>
        <v>0</v>
      </c>
      <c r="D155" s="756">
        <f>SUM('107(b)'!D155*1.1)</f>
        <v>0</v>
      </c>
      <c r="E155" s="756">
        <f>SUM('107(b)'!E155*1.1)</f>
        <v>0</v>
      </c>
      <c r="F155" s="756">
        <f>SUM('107(b)'!F155*1.1)</f>
        <v>0</v>
      </c>
      <c r="G155" s="756">
        <f>SUM('107(b)'!G155*1.1)</f>
        <v>0</v>
      </c>
      <c r="H155" s="756">
        <f>SUM('107(b)'!H155*1.1)</f>
        <v>0</v>
      </c>
      <c r="I155" s="756">
        <f>SUM('107(b)'!I155*1.1)</f>
        <v>0</v>
      </c>
      <c r="J155" s="756">
        <f>SUM('107(b)'!J155*1.1)</f>
        <v>0</v>
      </c>
      <c r="K155" s="756">
        <f>SUM('107(b)'!K155*1.1)</f>
        <v>0</v>
      </c>
      <c r="L155" s="756">
        <f>SUM('107(b)'!L155*1.1)</f>
        <v>0</v>
      </c>
      <c r="M155" s="756">
        <f>SUM('107(b)'!M155*1.1)</f>
        <v>0</v>
      </c>
      <c r="N155" s="756">
        <f>SUM('107(b)'!N155*1.1)</f>
        <v>0</v>
      </c>
      <c r="O155" s="756">
        <f>SUM('107(b)'!O155*1.1)</f>
        <v>0</v>
      </c>
      <c r="P155" s="222"/>
      <c r="Q155" s="222"/>
    </row>
    <row r="156" spans="1:17" ht="20.100000000000001" customHeight="1">
      <c r="A156" s="1512" t="s">
        <v>893</v>
      </c>
      <c r="B156" s="1513"/>
      <c r="C156" s="810">
        <f>SUM(C150:C154)</f>
        <v>8.5634999999999994</v>
      </c>
      <c r="D156" s="811">
        <f>SUM(D150:D154)</f>
        <v>0</v>
      </c>
      <c r="E156" s="812">
        <f>C156+D156</f>
        <v>8.5634999999999994</v>
      </c>
      <c r="F156" s="810">
        <f>SUM(F150:F154)</f>
        <v>12.298440000000001</v>
      </c>
      <c r="G156" s="811">
        <f>SUM(G150:G154)</f>
        <v>0</v>
      </c>
      <c r="H156" s="812">
        <f>F156+G156</f>
        <v>12.298440000000001</v>
      </c>
      <c r="I156" s="810">
        <f>SUM(I150:I154)</f>
        <v>0</v>
      </c>
      <c r="J156" s="811">
        <f>SUM(J150:J154)</f>
        <v>0</v>
      </c>
      <c r="K156" s="812">
        <f>I156+J156</f>
        <v>0</v>
      </c>
      <c r="L156" s="810">
        <f>SUM(L150:L154)</f>
        <v>0</v>
      </c>
      <c r="M156" s="811">
        <f>SUM(M150:M154)</f>
        <v>0</v>
      </c>
      <c r="N156" s="812">
        <f>L156+M156</f>
        <v>0</v>
      </c>
      <c r="O156" s="819">
        <f>+E156+H156+K156+N156</f>
        <v>20.861940000000001</v>
      </c>
      <c r="P156" s="778"/>
      <c r="Q156" s="778"/>
    </row>
    <row r="157" spans="1:17" ht="20.100000000000001" customHeight="1">
      <c r="A157" s="1476" t="s">
        <v>1010</v>
      </c>
      <c r="B157" s="1478"/>
      <c r="C157" s="808"/>
      <c r="D157" s="808"/>
      <c r="E157" s="809"/>
      <c r="F157" s="808"/>
      <c r="G157" s="808"/>
      <c r="H157" s="809"/>
      <c r="I157" s="808"/>
      <c r="J157" s="808"/>
      <c r="K157" s="809"/>
      <c r="L157" s="808"/>
      <c r="M157" s="808"/>
      <c r="N157" s="809"/>
      <c r="O157" s="808"/>
      <c r="P157" s="779"/>
      <c r="Q157" s="779"/>
    </row>
    <row r="158" spans="1:17" ht="18.95" customHeight="1">
      <c r="A158" s="239">
        <v>1</v>
      </c>
      <c r="B158" s="241" t="str">
        <f t="shared" ref="B158:B169" si="33">+B52</f>
        <v>Botany</v>
      </c>
      <c r="C158" s="756">
        <f>SUM('107(b)'!C158*1.1)</f>
        <v>0</v>
      </c>
      <c r="D158" s="813"/>
      <c r="E158" s="756">
        <f>SUM('107(b)'!E158*1.1)</f>
        <v>0</v>
      </c>
      <c r="F158" s="756">
        <f>SUM('107(b)'!F158*1.1)</f>
        <v>9.3170000000000002</v>
      </c>
      <c r="G158" s="756">
        <f>SUM('107(b)'!G158*1.1)</f>
        <v>0</v>
      </c>
      <c r="H158" s="756">
        <f>SUM('107(b)'!H158*1.1)</f>
        <v>9.3170000000000002</v>
      </c>
      <c r="I158" s="813"/>
      <c r="J158" s="813"/>
      <c r="K158" s="814">
        <f>I158+J158</f>
        <v>0</v>
      </c>
      <c r="L158" s="813"/>
      <c r="M158" s="813"/>
      <c r="N158" s="814">
        <f>L158+M158</f>
        <v>0</v>
      </c>
      <c r="O158" s="756">
        <f>SUM('107(b)'!O158*1.1)</f>
        <v>9.3170000000000002</v>
      </c>
      <c r="P158" s="222"/>
      <c r="Q158" s="222"/>
    </row>
    <row r="159" spans="1:17" ht="18.95" customHeight="1">
      <c r="A159" s="239">
        <v>2</v>
      </c>
      <c r="B159" s="241" t="str">
        <f t="shared" si="33"/>
        <v xml:space="preserve"> Microbiology</v>
      </c>
      <c r="C159" s="756">
        <f>SUM('107(b)'!C159*1.1)</f>
        <v>245.34950000000001</v>
      </c>
      <c r="D159" s="756">
        <f>SUM('107(b)'!D159*1.1)</f>
        <v>0</v>
      </c>
      <c r="E159" s="756">
        <f>SUM('107(b)'!E159*1.1)</f>
        <v>245.34950000000001</v>
      </c>
      <c r="F159" s="756">
        <f>SUM('107(b)'!F159*1.1)</f>
        <v>0</v>
      </c>
      <c r="G159" s="756">
        <f>SUM('107(b)'!G159*1.1)</f>
        <v>0</v>
      </c>
      <c r="H159" s="756">
        <f>SUM('107(b)'!H159*1.1)</f>
        <v>0</v>
      </c>
      <c r="I159" s="756">
        <f>SUM('107(b)'!I159*1.1)</f>
        <v>0</v>
      </c>
      <c r="J159" s="756">
        <f>SUM('107(b)'!J159*1.1)</f>
        <v>0</v>
      </c>
      <c r="K159" s="756">
        <f>SUM('107(b)'!K159*1.1)</f>
        <v>0</v>
      </c>
      <c r="L159" s="756">
        <f>SUM('107(b)'!L159*1.1)</f>
        <v>0</v>
      </c>
      <c r="M159" s="756">
        <f>SUM('107(b)'!M159*1.1)</f>
        <v>0</v>
      </c>
      <c r="N159" s="756">
        <f>SUM('107(b)'!N159*1.1)</f>
        <v>0</v>
      </c>
      <c r="O159" s="756">
        <f>SUM('107(b)'!O159*1.1)</f>
        <v>245.34950000000001</v>
      </c>
      <c r="P159" s="222"/>
      <c r="Q159" s="222"/>
    </row>
    <row r="160" spans="1:17" ht="18.95" customHeight="1">
      <c r="A160" s="239">
        <v>3</v>
      </c>
      <c r="B160" s="241" t="str">
        <f t="shared" si="33"/>
        <v>Centre of Disaster Preparedness &amp; Management</v>
      </c>
      <c r="C160" s="756">
        <f>SUM('107(b)'!C160*1.1)</f>
        <v>0</v>
      </c>
      <c r="D160" s="756">
        <f>SUM('107(b)'!D160*1.1)</f>
        <v>0</v>
      </c>
      <c r="E160" s="756">
        <f>SUM('107(b)'!E160*1.1)</f>
        <v>0</v>
      </c>
      <c r="F160" s="756">
        <f>SUM('107(b)'!F160*1.1)</f>
        <v>0</v>
      </c>
      <c r="G160" s="756">
        <f>SUM('107(b)'!G160*1.1)</f>
        <v>0</v>
      </c>
      <c r="H160" s="756">
        <f>SUM('107(b)'!H160*1.1)</f>
        <v>0</v>
      </c>
      <c r="I160" s="756">
        <f>SUM('107(b)'!I160*1.1)</f>
        <v>0</v>
      </c>
      <c r="J160" s="756">
        <f>SUM('107(b)'!J160*1.1)</f>
        <v>0</v>
      </c>
      <c r="K160" s="756">
        <f>SUM('107(b)'!K160*1.1)</f>
        <v>0</v>
      </c>
      <c r="L160" s="756">
        <f>SUM('107(b)'!L160*1.1)</f>
        <v>0</v>
      </c>
      <c r="M160" s="756">
        <f>SUM('107(b)'!M160*1.1)</f>
        <v>0</v>
      </c>
      <c r="N160" s="756">
        <f>SUM('107(b)'!N160*1.1)</f>
        <v>0</v>
      </c>
      <c r="O160" s="756">
        <f>SUM('107(b)'!O160*1.1)</f>
        <v>0</v>
      </c>
      <c r="P160" s="222"/>
      <c r="Q160" s="222"/>
    </row>
    <row r="161" spans="1:18" ht="18.95" customHeight="1">
      <c r="A161" s="239">
        <v>4</v>
      </c>
      <c r="B161" s="241" t="str">
        <f t="shared" si="33"/>
        <v>Centre of Plant Biodiversity</v>
      </c>
      <c r="C161" s="756">
        <f>SUM('107(b)'!C161*1.1)</f>
        <v>0.89100000000000001</v>
      </c>
      <c r="D161" s="756">
        <f>SUM('107(b)'!D161*1.1)</f>
        <v>0</v>
      </c>
      <c r="E161" s="756">
        <f>SUM('107(b)'!E161*1.1)</f>
        <v>0.89100000000000001</v>
      </c>
      <c r="F161" s="756">
        <f>SUM('107(b)'!F161*1.1)</f>
        <v>0</v>
      </c>
      <c r="G161" s="756">
        <f>SUM('107(b)'!G161*1.1)</f>
        <v>0</v>
      </c>
      <c r="H161" s="756">
        <f>SUM('107(b)'!H161*1.1)</f>
        <v>0</v>
      </c>
      <c r="I161" s="756">
        <f>SUM('107(b)'!I161*1.1)</f>
        <v>0</v>
      </c>
      <c r="J161" s="756">
        <f>SUM('107(b)'!J161*1.1)</f>
        <v>0</v>
      </c>
      <c r="K161" s="756">
        <f>SUM('107(b)'!K161*1.1)</f>
        <v>0</v>
      </c>
      <c r="L161" s="756">
        <f>SUM('107(b)'!L161*1.1)</f>
        <v>0</v>
      </c>
      <c r="M161" s="756">
        <f>SUM('107(b)'!M161*1.1)</f>
        <v>0</v>
      </c>
      <c r="N161" s="756">
        <f>SUM('107(b)'!N161*1.1)</f>
        <v>0</v>
      </c>
      <c r="O161" s="756">
        <f>SUM('107(b)'!O161*1.1)</f>
        <v>0.89100000000000001</v>
      </c>
      <c r="P161" s="222"/>
      <c r="Q161" s="222"/>
    </row>
    <row r="162" spans="1:18" ht="18.95" customHeight="1">
      <c r="A162" s="239">
        <v>5</v>
      </c>
      <c r="B162" s="241" t="str">
        <f t="shared" si="33"/>
        <v>Environmental science</v>
      </c>
      <c r="C162" s="756">
        <f>SUM('107(b)'!C162*1.1)</f>
        <v>0</v>
      </c>
      <c r="D162" s="756">
        <f>SUM('107(b)'!D162*1.1)</f>
        <v>0</v>
      </c>
      <c r="E162" s="756">
        <f>SUM('107(b)'!E162*1.1)</f>
        <v>0</v>
      </c>
      <c r="F162" s="756">
        <f>SUM('107(b)'!F162*1.1)</f>
        <v>0</v>
      </c>
      <c r="G162" s="756">
        <f>SUM('107(b)'!G162*1.1)</f>
        <v>0</v>
      </c>
      <c r="H162" s="756">
        <f>SUM('107(b)'!H162*1.1)</f>
        <v>0</v>
      </c>
      <c r="I162" s="756">
        <f>SUM('107(b)'!I162*1.1)</f>
        <v>0</v>
      </c>
      <c r="J162" s="756">
        <f>SUM('107(b)'!J162*1.1)</f>
        <v>0</v>
      </c>
      <c r="K162" s="756">
        <f>SUM('107(b)'!K162*1.1)</f>
        <v>0</v>
      </c>
      <c r="L162" s="756">
        <f>SUM('107(b)'!L162*1.1)</f>
        <v>0</v>
      </c>
      <c r="M162" s="756">
        <f>SUM('107(b)'!M162*1.1)</f>
        <v>0</v>
      </c>
      <c r="N162" s="756">
        <f>SUM('107(b)'!N162*1.1)</f>
        <v>0</v>
      </c>
      <c r="O162" s="756">
        <f>SUM('107(b)'!O162*1.1)</f>
        <v>0</v>
      </c>
      <c r="P162" s="222"/>
      <c r="Q162" s="222"/>
    </row>
    <row r="163" spans="1:18" ht="18.95" customHeight="1">
      <c r="A163" s="239">
        <v>6</v>
      </c>
      <c r="B163" s="241" t="str">
        <f t="shared" si="33"/>
        <v>Geology</v>
      </c>
      <c r="C163" s="756">
        <f>SUM('107(b)'!C163*1.1)</f>
        <v>2.7720000000000002</v>
      </c>
      <c r="D163" s="756">
        <f>SUM('107(b)'!D163*1.1)</f>
        <v>0</v>
      </c>
      <c r="E163" s="756">
        <f>SUM('107(b)'!E163*1.1)</f>
        <v>2.7720000000000002</v>
      </c>
      <c r="F163" s="756">
        <f>SUM('107(b)'!F163*1.1)</f>
        <v>0</v>
      </c>
      <c r="G163" s="756">
        <f>SUM('107(b)'!G163*1.1)</f>
        <v>0</v>
      </c>
      <c r="H163" s="756">
        <f>SUM('107(b)'!H163*1.1)</f>
        <v>0</v>
      </c>
      <c r="I163" s="756">
        <f>SUM('107(b)'!I163*1.1)</f>
        <v>0</v>
      </c>
      <c r="J163" s="756">
        <f>SUM('107(b)'!J163*1.1)</f>
        <v>0</v>
      </c>
      <c r="K163" s="756">
        <f>SUM('107(b)'!K163*1.1)</f>
        <v>0</v>
      </c>
      <c r="L163" s="756">
        <f>SUM('107(b)'!L163*1.1)</f>
        <v>0</v>
      </c>
      <c r="M163" s="756">
        <f>SUM('107(b)'!M163*1.1)</f>
        <v>0</v>
      </c>
      <c r="N163" s="756">
        <f>SUM('107(b)'!N163*1.1)</f>
        <v>0</v>
      </c>
      <c r="O163" s="756">
        <f>SUM('107(b)'!O163*1.1)</f>
        <v>2.7720000000000002</v>
      </c>
      <c r="P163" s="222"/>
      <c r="Q163" s="222"/>
    </row>
    <row r="164" spans="1:18" ht="18.95" customHeight="1">
      <c r="A164" s="239">
        <v>7</v>
      </c>
      <c r="B164" s="241" t="str">
        <f t="shared" si="33"/>
        <v>Geography</v>
      </c>
      <c r="C164" s="756">
        <f>SUM('107(b)'!C164*1.1)</f>
        <v>0</v>
      </c>
      <c r="D164" s="756">
        <f>SUM('107(b)'!D164*1.1)</f>
        <v>0</v>
      </c>
      <c r="E164" s="756">
        <f>SUM('107(b)'!E164*1.1)</f>
        <v>0</v>
      </c>
      <c r="F164" s="756">
        <f>SUM('107(b)'!F164*1.1)</f>
        <v>0</v>
      </c>
      <c r="G164" s="756">
        <f>SUM('107(b)'!G164*1.1)</f>
        <v>0</v>
      </c>
      <c r="H164" s="756">
        <f>SUM('107(b)'!H164*1.1)</f>
        <v>0</v>
      </c>
      <c r="I164" s="756">
        <f>SUM('107(b)'!I164*1.1)</f>
        <v>0</v>
      </c>
      <c r="J164" s="756">
        <f>SUM('107(b)'!J164*1.1)</f>
        <v>0</v>
      </c>
      <c r="K164" s="756">
        <f>SUM('107(b)'!K164*1.1)</f>
        <v>0</v>
      </c>
      <c r="L164" s="756">
        <f>SUM('107(b)'!L164*1.1)</f>
        <v>0</v>
      </c>
      <c r="M164" s="756">
        <f>SUM('107(b)'!M164*1.1)</f>
        <v>0</v>
      </c>
      <c r="N164" s="756">
        <f>SUM('107(b)'!N164*1.1)</f>
        <v>0</v>
      </c>
      <c r="O164" s="756">
        <f>SUM('107(b)'!O164*1.1)</f>
        <v>0</v>
      </c>
      <c r="P164" s="222"/>
      <c r="Q164" s="222"/>
    </row>
    <row r="165" spans="1:18" ht="18.95" customHeight="1">
      <c r="A165" s="239">
        <v>8</v>
      </c>
      <c r="B165" s="241" t="str">
        <f t="shared" si="33"/>
        <v>Geomatics</v>
      </c>
      <c r="C165" s="756">
        <f>SUM('107(b)'!C165*1.1)</f>
        <v>0</v>
      </c>
      <c r="D165" s="756">
        <f>SUM('107(b)'!D165*1.1)</f>
        <v>0</v>
      </c>
      <c r="E165" s="756">
        <f>SUM('107(b)'!E165*1.1)</f>
        <v>0</v>
      </c>
      <c r="F165" s="756">
        <f>SUM('107(b)'!F165*1.1)</f>
        <v>0</v>
      </c>
      <c r="G165" s="756">
        <f>SUM('107(b)'!G165*1.1)</f>
        <v>0</v>
      </c>
      <c r="H165" s="756">
        <f>SUM('107(b)'!H165*1.1)</f>
        <v>0</v>
      </c>
      <c r="I165" s="756">
        <f>SUM('107(b)'!I165*1.1)</f>
        <v>0</v>
      </c>
      <c r="J165" s="756">
        <f>SUM('107(b)'!J165*1.1)</f>
        <v>0</v>
      </c>
      <c r="K165" s="756">
        <f>SUM('107(b)'!K165*1.1)</f>
        <v>0</v>
      </c>
      <c r="L165" s="756">
        <f>SUM('107(b)'!L165*1.1)</f>
        <v>0</v>
      </c>
      <c r="M165" s="756">
        <f>SUM('107(b)'!M165*1.1)</f>
        <v>0</v>
      </c>
      <c r="N165" s="756">
        <f>SUM('107(b)'!N165*1.1)</f>
        <v>0</v>
      </c>
      <c r="O165" s="756">
        <f>SUM('107(b)'!O165*1.1)</f>
        <v>0</v>
      </c>
      <c r="P165" s="222"/>
      <c r="Q165" s="222"/>
    </row>
    <row r="166" spans="1:18" ht="18.95" customHeight="1">
      <c r="A166" s="239">
        <v>9</v>
      </c>
      <c r="B166" s="241" t="str">
        <f t="shared" si="33"/>
        <v>Institute of Chemical Science</v>
      </c>
      <c r="C166" s="756">
        <f>SUM('107(b)'!C166*1.1)</f>
        <v>4.6529999999999996</v>
      </c>
      <c r="D166" s="756">
        <f>SUM('107(b)'!D166*1.1)</f>
        <v>0</v>
      </c>
      <c r="E166" s="756">
        <f>SUM('107(b)'!E166*1.1)</f>
        <v>4.6529999999999996</v>
      </c>
      <c r="F166" s="756">
        <f>SUM('107(b)'!F166*1.1)</f>
        <v>6.0360300000000002</v>
      </c>
      <c r="G166" s="756">
        <f>SUM('107(b)'!G166*1.1)</f>
        <v>0</v>
      </c>
      <c r="H166" s="756">
        <f>SUM('107(b)'!H166*1.1)</f>
        <v>6.0360300000000002</v>
      </c>
      <c r="I166" s="756">
        <f>SUM('107(b)'!I166*1.1)</f>
        <v>0</v>
      </c>
      <c r="J166" s="756">
        <f>SUM('107(b)'!J166*1.1)</f>
        <v>0</v>
      </c>
      <c r="K166" s="756">
        <f>SUM('107(b)'!K166*1.1)</f>
        <v>0</v>
      </c>
      <c r="L166" s="756">
        <f>SUM('107(b)'!L166*1.1)</f>
        <v>0</v>
      </c>
      <c r="M166" s="756">
        <f>SUM('107(b)'!M166*1.1)</f>
        <v>0</v>
      </c>
      <c r="N166" s="756">
        <f>SUM('107(b)'!N166*1.1)</f>
        <v>0</v>
      </c>
      <c r="O166" s="756">
        <f>SUM('107(b)'!O166*1.1)</f>
        <v>10.689029999999999</v>
      </c>
      <c r="P166" s="222"/>
      <c r="Q166" s="222"/>
    </row>
    <row r="167" spans="1:18" ht="18.95" customHeight="1">
      <c r="A167" s="239">
        <v>10</v>
      </c>
      <c r="B167" s="241" t="str">
        <f t="shared" si="33"/>
        <v>Pharmacy</v>
      </c>
      <c r="C167" s="756">
        <f>SUM('107(b)'!C167*1.1)</f>
        <v>25.872</v>
      </c>
      <c r="D167" s="756">
        <f>SUM('107(b)'!D167*1.1)</f>
        <v>0</v>
      </c>
      <c r="E167" s="756">
        <f>SUM('107(b)'!E167*1.1)</f>
        <v>25.872</v>
      </c>
      <c r="F167" s="756">
        <f>SUM('107(b)'!F167*1.1)</f>
        <v>0</v>
      </c>
      <c r="G167" s="756">
        <f>SUM('107(b)'!G167*1.1)</f>
        <v>0</v>
      </c>
      <c r="H167" s="756">
        <f>SUM('107(b)'!H167*1.1)</f>
        <v>0</v>
      </c>
      <c r="I167" s="756">
        <f>SUM('107(b)'!I167*1.1)</f>
        <v>0</v>
      </c>
      <c r="J167" s="756">
        <f>SUM('107(b)'!J167*1.1)</f>
        <v>0</v>
      </c>
      <c r="K167" s="756">
        <f>SUM('107(b)'!K167*1.1)</f>
        <v>0</v>
      </c>
      <c r="L167" s="756">
        <f>SUM('107(b)'!L167*1.1)</f>
        <v>0</v>
      </c>
      <c r="M167" s="756">
        <f>SUM('107(b)'!M167*1.1)</f>
        <v>0</v>
      </c>
      <c r="N167" s="756">
        <f>SUM('107(b)'!N167*1.1)</f>
        <v>0</v>
      </c>
      <c r="O167" s="756">
        <f>SUM('107(b)'!O167*1.1)</f>
        <v>25.872</v>
      </c>
      <c r="P167" s="222"/>
      <c r="Q167" s="222"/>
    </row>
    <row r="168" spans="1:18" ht="18.95" customHeight="1">
      <c r="A168" s="239">
        <v>11</v>
      </c>
      <c r="B168" s="241" t="str">
        <f t="shared" si="33"/>
        <v>Urban &amp; Regional Planning</v>
      </c>
      <c r="C168" s="756">
        <f>SUM('107(b)'!C168*1.1)</f>
        <v>9.9000000000000005E-2</v>
      </c>
      <c r="D168" s="756">
        <f>SUM('107(b)'!D168*1.1)</f>
        <v>0</v>
      </c>
      <c r="E168" s="756">
        <f>SUM('107(b)'!E168*1.1)</f>
        <v>9.9000000000000005E-2</v>
      </c>
      <c r="F168" s="756">
        <f>SUM('107(b)'!F168*1.1)</f>
        <v>0</v>
      </c>
      <c r="G168" s="756">
        <f>SUM('107(b)'!G168*1.1)</f>
        <v>0</v>
      </c>
      <c r="H168" s="756">
        <f>SUM('107(b)'!H168*1.1)</f>
        <v>0</v>
      </c>
      <c r="I168" s="756">
        <f>SUM('107(b)'!I168*1.1)</f>
        <v>0</v>
      </c>
      <c r="J168" s="756">
        <f>SUM('107(b)'!J168*1.1)</f>
        <v>0</v>
      </c>
      <c r="K168" s="756">
        <f>SUM('107(b)'!K168*1.1)</f>
        <v>0</v>
      </c>
      <c r="L168" s="756">
        <f>SUM('107(b)'!L168*1.1)</f>
        <v>0</v>
      </c>
      <c r="M168" s="756">
        <f>SUM('107(b)'!M168*1.1)</f>
        <v>0</v>
      </c>
      <c r="N168" s="756">
        <f>SUM('107(b)'!N168*1.1)</f>
        <v>0</v>
      </c>
      <c r="O168" s="756">
        <f>SUM('107(b)'!O168*1.1)</f>
        <v>9.9000000000000005E-2</v>
      </c>
      <c r="P168" s="222"/>
      <c r="Q168" s="222"/>
    </row>
    <row r="169" spans="1:18" ht="18.95" customHeight="1">
      <c r="A169" s="239">
        <v>12</v>
      </c>
      <c r="B169" s="241" t="str">
        <f t="shared" si="33"/>
        <v>Zoology</v>
      </c>
      <c r="C169" s="756">
        <f>SUM('107(b)'!C169*1.1)</f>
        <v>3.762</v>
      </c>
      <c r="D169" s="756">
        <f>SUM('107(b)'!D169*1.1)</f>
        <v>0</v>
      </c>
      <c r="E169" s="756">
        <f>SUM('107(b)'!E169*1.1)</f>
        <v>3.762</v>
      </c>
      <c r="F169" s="756">
        <f>SUM('107(b)'!F169*1.1)</f>
        <v>18.447659999999999</v>
      </c>
      <c r="G169" s="756">
        <f>SUM('107(b)'!G169*1.1)</f>
        <v>0</v>
      </c>
      <c r="H169" s="756">
        <f>SUM('107(b)'!H169*1.1)</f>
        <v>18.447659999999999</v>
      </c>
      <c r="I169" s="756">
        <f>SUM('107(b)'!I169*1.1)</f>
        <v>0</v>
      </c>
      <c r="J169" s="756">
        <f>SUM('107(b)'!J169*1.1)</f>
        <v>0</v>
      </c>
      <c r="K169" s="756">
        <f>SUM('107(b)'!K169*1.1)</f>
        <v>0</v>
      </c>
      <c r="L169" s="756">
        <f>SUM('107(b)'!L169*1.1)</f>
        <v>0</v>
      </c>
      <c r="M169" s="756">
        <f>SUM('107(b)'!M169*1.1)</f>
        <v>0</v>
      </c>
      <c r="N169" s="756">
        <f>SUM('107(b)'!N169*1.1)</f>
        <v>0</v>
      </c>
      <c r="O169" s="756">
        <f>SUM('107(b)'!O169*1.1)</f>
        <v>22.20966</v>
      </c>
      <c r="P169" s="222"/>
      <c r="Q169" s="222"/>
    </row>
    <row r="170" spans="1:18" ht="18.95" customHeight="1">
      <c r="A170" s="1512" t="s">
        <v>893</v>
      </c>
      <c r="B170" s="1513"/>
      <c r="C170" s="815">
        <f>SUM(C158:C169)</f>
        <v>283.39849999999996</v>
      </c>
      <c r="D170" s="816">
        <f>SUM(D158:D169)</f>
        <v>0</v>
      </c>
      <c r="E170" s="817">
        <f>C170+D170</f>
        <v>283.39849999999996</v>
      </c>
      <c r="F170" s="815">
        <f>SUM(F158:F169)</f>
        <v>33.800690000000003</v>
      </c>
      <c r="G170" s="816">
        <f>SUM(G158:G169)</f>
        <v>0</v>
      </c>
      <c r="H170" s="817">
        <f>F170+G170</f>
        <v>33.800690000000003</v>
      </c>
      <c r="I170" s="815">
        <f>SUM(I158:I169)</f>
        <v>0</v>
      </c>
      <c r="J170" s="816">
        <f>SUM(J158:J169)</f>
        <v>0</v>
      </c>
      <c r="K170" s="817">
        <f>I170+J170</f>
        <v>0</v>
      </c>
      <c r="L170" s="815">
        <f>SUM(L158:L169)</f>
        <v>0</v>
      </c>
      <c r="M170" s="816">
        <f>SUM(M158:M169)</f>
        <v>0</v>
      </c>
      <c r="N170" s="817">
        <f>L170+M170</f>
        <v>0</v>
      </c>
      <c r="O170" s="820">
        <f>+E170+H170+K170+N170</f>
        <v>317.19918999999993</v>
      </c>
      <c r="P170" s="222"/>
      <c r="Q170" s="222"/>
    </row>
    <row r="171" spans="1:18" ht="20.100000000000001" customHeight="1">
      <c r="A171" s="1518" t="s">
        <v>1157</v>
      </c>
      <c r="B171" s="1518"/>
      <c r="C171" s="1518"/>
      <c r="D171" s="1518"/>
      <c r="E171" s="1518"/>
      <c r="F171" s="1518"/>
      <c r="G171" s="1518"/>
      <c r="H171" s="1518"/>
      <c r="I171" s="1518"/>
      <c r="J171" s="1518"/>
      <c r="K171" s="1518"/>
      <c r="L171" s="1518"/>
      <c r="M171" s="1518"/>
      <c r="N171" s="1518"/>
      <c r="O171" s="1518"/>
      <c r="P171" s="778"/>
      <c r="Q171" s="778"/>
    </row>
    <row r="172" spans="1:18" ht="20.100000000000001" customHeight="1">
      <c r="A172" s="595">
        <f>+A66</f>
        <v>1</v>
      </c>
      <c r="B172" s="596" t="str">
        <f t="shared" ref="B172" si="34">+B66</f>
        <v>College of Home Economics</v>
      </c>
      <c r="C172" s="756">
        <f>SUM('107(b)'!C172*1.1)</f>
        <v>3.8115000000000001</v>
      </c>
      <c r="D172" s="756">
        <f>SUM('107(b)'!D172*1.1)</f>
        <v>0</v>
      </c>
      <c r="E172" s="756">
        <f>SUM('107(b)'!E172*1.1)</f>
        <v>3.8115000000000001</v>
      </c>
      <c r="F172" s="756">
        <f>SUM('107(b)'!F172*1.1)</f>
        <v>0</v>
      </c>
      <c r="G172" s="756">
        <f>SUM('107(b)'!G172*1.1)</f>
        <v>0</v>
      </c>
      <c r="H172" s="756">
        <f>SUM('107(b)'!H172*1.1)</f>
        <v>0</v>
      </c>
      <c r="I172" s="756">
        <f>SUM('107(b)'!I172*1.1)</f>
        <v>0</v>
      </c>
      <c r="J172" s="756">
        <f>SUM('107(b)'!J172*1.1)</f>
        <v>0</v>
      </c>
      <c r="K172" s="756">
        <f>SUM('107(b)'!K172*1.1)</f>
        <v>0</v>
      </c>
      <c r="L172" s="756">
        <f>SUM('107(b)'!L172*1.1)</f>
        <v>0</v>
      </c>
      <c r="M172" s="756">
        <f>SUM('107(b)'!M172*1.1)</f>
        <v>0</v>
      </c>
      <c r="N172" s="756">
        <f>SUM('107(b)'!N172*1.1)</f>
        <v>0</v>
      </c>
      <c r="O172" s="756">
        <f>SUM('107(b)'!O172*1.1)</f>
        <v>3.8115000000000001</v>
      </c>
      <c r="P172" s="780"/>
      <c r="Q172" s="780"/>
      <c r="R172" s="827">
        <f>O172-3.812</f>
        <v>-4.9999999999972289E-4</v>
      </c>
    </row>
    <row r="173" spans="1:18" ht="28.5">
      <c r="A173" s="595">
        <f t="shared" ref="A173:B177" si="35">+A67</f>
        <v>2</v>
      </c>
      <c r="B173" s="596" t="str">
        <f t="shared" si="35"/>
        <v>Instiute of Management Studies</v>
      </c>
      <c r="C173" s="756">
        <f>SUM('107(b)'!C173*1.1)</f>
        <v>3.6135000000000002</v>
      </c>
      <c r="D173" s="756">
        <f>SUM('107(b)'!D173*1.1)</f>
        <v>0</v>
      </c>
      <c r="E173" s="756">
        <f>SUM('107(b)'!E173*1.1)</f>
        <v>3.6135000000000002</v>
      </c>
      <c r="F173" s="756">
        <f>SUM('107(b)'!F173*1.1)</f>
        <v>4.0462400000000001</v>
      </c>
      <c r="G173" s="756">
        <f>SUM('107(b)'!G173*1.1)</f>
        <v>0</v>
      </c>
      <c r="H173" s="756">
        <f>SUM('107(b)'!H173*1.1)</f>
        <v>4.0462400000000001</v>
      </c>
      <c r="I173" s="756">
        <f>SUM('107(b)'!I173*1.1)</f>
        <v>0</v>
      </c>
      <c r="J173" s="756">
        <f>SUM('107(b)'!J173*1.1)</f>
        <v>0</v>
      </c>
      <c r="K173" s="756">
        <f>SUM('107(b)'!K173*1.1)</f>
        <v>0</v>
      </c>
      <c r="L173" s="756">
        <f>SUM('107(b)'!L173*1.1)</f>
        <v>0</v>
      </c>
      <c r="M173" s="756">
        <f>SUM('107(b)'!M173*1.1)</f>
        <v>0</v>
      </c>
      <c r="N173" s="756">
        <f>SUM('107(b)'!N173*1.1)</f>
        <v>0</v>
      </c>
      <c r="O173" s="756">
        <f>SUM('107(b)'!O173*1.1)</f>
        <v>7.6597400000000002</v>
      </c>
      <c r="P173" s="222"/>
      <c r="Q173" s="222"/>
    </row>
    <row r="174" spans="1:18" ht="28.5">
      <c r="A174" s="595">
        <f t="shared" si="35"/>
        <v>3</v>
      </c>
      <c r="B174" s="596" t="str">
        <f t="shared" si="35"/>
        <v>Journalism &amp; Mass Communication</v>
      </c>
      <c r="C174" s="756">
        <f>SUM('107(b)'!C174*1.1)</f>
        <v>0</v>
      </c>
      <c r="D174" s="756">
        <f>SUM('107(b)'!D174*1.1)</f>
        <v>0</v>
      </c>
      <c r="E174" s="756">
        <f>SUM('107(b)'!E174*1.1)</f>
        <v>0</v>
      </c>
      <c r="F174" s="756">
        <f>SUM('107(b)'!F174*1.1)</f>
        <v>0.56364000000000003</v>
      </c>
      <c r="G174" s="756">
        <f>SUM('107(b)'!G174*1.1)</f>
        <v>0</v>
      </c>
      <c r="H174" s="756">
        <f>SUM('107(b)'!H174*1.1)</f>
        <v>0.56364000000000003</v>
      </c>
      <c r="I174" s="756">
        <f>SUM('107(b)'!I174*1.1)</f>
        <v>0</v>
      </c>
      <c r="J174" s="756">
        <f>SUM('107(b)'!J174*1.1)</f>
        <v>0</v>
      </c>
      <c r="K174" s="756">
        <f>SUM('107(b)'!K174*1.1)</f>
        <v>0</v>
      </c>
      <c r="L174" s="756">
        <f>SUM('107(b)'!L174*1.1)</f>
        <v>0</v>
      </c>
      <c r="M174" s="756">
        <f>SUM('107(b)'!M174*1.1)</f>
        <v>0</v>
      </c>
      <c r="N174" s="756">
        <f>SUM('107(b)'!N174*1.1)</f>
        <v>0</v>
      </c>
      <c r="O174" s="756">
        <f>SUM('107(b)'!O174*1.1)</f>
        <v>0.56364000000000003</v>
      </c>
      <c r="P174" s="222"/>
      <c r="Q174" s="222"/>
    </row>
    <row r="175" spans="1:18" ht="28.5">
      <c r="A175" s="595">
        <f t="shared" si="35"/>
        <v>4</v>
      </c>
      <c r="B175" s="596" t="str">
        <f t="shared" si="35"/>
        <v>Library &amp; Information Science</v>
      </c>
      <c r="C175" s="756">
        <f>SUM('107(b)'!C175*1.1)</f>
        <v>0</v>
      </c>
      <c r="D175" s="756">
        <f>SUM('107(b)'!D175*1.1)</f>
        <v>0</v>
      </c>
      <c r="E175" s="756">
        <f>SUM('107(b)'!E175*1.1)</f>
        <v>0</v>
      </c>
      <c r="F175" s="756">
        <f>SUM('107(b)'!F175*1.1)</f>
        <v>0</v>
      </c>
      <c r="G175" s="756">
        <f>SUM('107(b)'!G175*1.1)</f>
        <v>0</v>
      </c>
      <c r="H175" s="756">
        <f>SUM('107(b)'!H175*1.1)</f>
        <v>0</v>
      </c>
      <c r="I175" s="756">
        <f>SUM('107(b)'!I175*1.1)</f>
        <v>0</v>
      </c>
      <c r="J175" s="756">
        <f>SUM('107(b)'!J175*1.1)</f>
        <v>0</v>
      </c>
      <c r="K175" s="756">
        <f>SUM('107(b)'!K175*1.1)</f>
        <v>0</v>
      </c>
      <c r="L175" s="756">
        <f>SUM('107(b)'!L175*1.1)</f>
        <v>0</v>
      </c>
      <c r="M175" s="756">
        <f>SUM('107(b)'!M175*1.1)</f>
        <v>0</v>
      </c>
      <c r="N175" s="756">
        <f>SUM('107(b)'!N175*1.1)</f>
        <v>0</v>
      </c>
      <c r="O175" s="756">
        <f>SUM('107(b)'!O175*1.1)</f>
        <v>0</v>
      </c>
      <c r="P175" s="222"/>
      <c r="Q175" s="222"/>
    </row>
    <row r="176" spans="1:18" ht="28.5">
      <c r="A176" s="595">
        <f t="shared" si="35"/>
        <v>5</v>
      </c>
      <c r="B176" s="596" t="str">
        <f t="shared" si="35"/>
        <v>Quaid-e-Azam College of Commerce</v>
      </c>
      <c r="C176" s="756">
        <f>SUM('107(b)'!C176*1.1)</f>
        <v>0</v>
      </c>
      <c r="D176" s="756">
        <f>SUM('107(b)'!D176*1.1)</f>
        <v>0</v>
      </c>
      <c r="E176" s="756">
        <f>SUM('107(b)'!E176*1.1)</f>
        <v>0</v>
      </c>
      <c r="F176" s="756">
        <f>SUM('107(b)'!F176*1.1)</f>
        <v>0</v>
      </c>
      <c r="G176" s="756">
        <f>SUM('107(b)'!G176*1.1)</f>
        <v>0</v>
      </c>
      <c r="H176" s="756">
        <f>SUM('107(b)'!H176*1.1)</f>
        <v>0</v>
      </c>
      <c r="I176" s="756">
        <f>SUM('107(b)'!I176*1.1)</f>
        <v>0</v>
      </c>
      <c r="J176" s="756">
        <f>SUM('107(b)'!J176*1.1)</f>
        <v>0</v>
      </c>
      <c r="K176" s="756">
        <f>SUM('107(b)'!K176*1.1)</f>
        <v>0</v>
      </c>
      <c r="L176" s="756">
        <f>SUM('107(b)'!L176*1.1)</f>
        <v>0</v>
      </c>
      <c r="M176" s="756">
        <f>SUM('107(b)'!M176*1.1)</f>
        <v>0</v>
      </c>
      <c r="N176" s="756">
        <f>SUM('107(b)'!N176*1.1)</f>
        <v>0</v>
      </c>
      <c r="O176" s="756">
        <f>SUM('107(b)'!O176*1.1)</f>
        <v>0</v>
      </c>
      <c r="P176" s="222"/>
      <c r="Q176" s="222"/>
    </row>
    <row r="177" spans="1:17" ht="71.25">
      <c r="A177" s="595" t="str">
        <f t="shared" si="35"/>
        <v>sub-total</v>
      </c>
      <c r="B177" s="595">
        <f t="shared" si="35"/>
        <v>0</v>
      </c>
      <c r="C177" s="756">
        <f>SUM('107(b)'!C177*1.1)</f>
        <v>0</v>
      </c>
      <c r="D177" s="756">
        <f>SUM('107(b)'!D177*1.1)</f>
        <v>0</v>
      </c>
      <c r="E177" s="756">
        <f>SUM('107(b)'!E177*1.1)</f>
        <v>0</v>
      </c>
      <c r="F177" s="756">
        <f>SUM('107(b)'!F177*1.1)</f>
        <v>0</v>
      </c>
      <c r="G177" s="756">
        <f>SUM('107(b)'!G177*1.1)</f>
        <v>0</v>
      </c>
      <c r="H177" s="756">
        <f>SUM('107(b)'!H177*1.1)</f>
        <v>0</v>
      </c>
      <c r="I177" s="756">
        <f>SUM('107(b)'!I177*1.1)</f>
        <v>0</v>
      </c>
      <c r="J177" s="756">
        <f>SUM('107(b)'!J177*1.1)</f>
        <v>0</v>
      </c>
      <c r="K177" s="756">
        <f>SUM('107(b)'!K177*1.1)</f>
        <v>0</v>
      </c>
      <c r="L177" s="756">
        <f>SUM('107(b)'!L177*1.1)</f>
        <v>0</v>
      </c>
      <c r="M177" s="756">
        <f>SUM('107(b)'!M177*1.1)</f>
        <v>0</v>
      </c>
      <c r="N177" s="756">
        <f>SUM('107(b)'!N177*1.1)</f>
        <v>0</v>
      </c>
      <c r="O177" s="756">
        <f>SUM('107(b)'!O177*1.1)</f>
        <v>0</v>
      </c>
      <c r="P177" s="222"/>
      <c r="Q177" s="222"/>
    </row>
    <row r="178" spans="1:17" ht="20.100000000000001" customHeight="1">
      <c r="A178" s="1512" t="s">
        <v>893</v>
      </c>
      <c r="B178" s="1513"/>
      <c r="C178" s="818">
        <f>SUM(C172:C176)</f>
        <v>7.4250000000000007</v>
      </c>
      <c r="D178" s="818">
        <f t="shared" ref="D178:N178" si="36">SUM(D172:D176)</f>
        <v>0</v>
      </c>
      <c r="E178" s="818">
        <f t="shared" si="36"/>
        <v>7.4250000000000007</v>
      </c>
      <c r="F178" s="818">
        <f t="shared" si="36"/>
        <v>4.6098800000000004</v>
      </c>
      <c r="G178" s="818">
        <f t="shared" si="36"/>
        <v>0</v>
      </c>
      <c r="H178" s="818">
        <f t="shared" si="36"/>
        <v>4.6098800000000004</v>
      </c>
      <c r="I178" s="818">
        <f t="shared" si="36"/>
        <v>0</v>
      </c>
      <c r="J178" s="818">
        <f t="shared" si="36"/>
        <v>0</v>
      </c>
      <c r="K178" s="818">
        <f t="shared" si="36"/>
        <v>0</v>
      </c>
      <c r="L178" s="818">
        <f t="shared" si="36"/>
        <v>0</v>
      </c>
      <c r="M178" s="818">
        <f t="shared" si="36"/>
        <v>0</v>
      </c>
      <c r="N178" s="818">
        <f t="shared" si="36"/>
        <v>0</v>
      </c>
      <c r="O178" s="820">
        <f>+E178+H178+K178+N178</f>
        <v>12.034880000000001</v>
      </c>
      <c r="P178" s="222"/>
      <c r="Q178" s="222"/>
    </row>
    <row r="179" spans="1:17" ht="20.100000000000001" customHeight="1">
      <c r="A179" s="1517" t="s">
        <v>878</v>
      </c>
      <c r="B179" s="1517"/>
      <c r="C179" s="1497" t="s">
        <v>1367</v>
      </c>
      <c r="D179" s="1498"/>
      <c r="E179" s="1498"/>
      <c r="F179" s="1498"/>
      <c r="G179" s="1498"/>
      <c r="H179" s="1498"/>
      <c r="I179" s="1499"/>
      <c r="J179" s="1499"/>
      <c r="K179" s="1499"/>
      <c r="L179" s="1499"/>
      <c r="M179" s="1499"/>
      <c r="N179" s="1499"/>
      <c r="O179" s="1500"/>
      <c r="P179" s="778"/>
      <c r="Q179" s="778"/>
    </row>
    <row r="180" spans="1:17" ht="20.100000000000001" customHeight="1">
      <c r="A180" s="1517"/>
      <c r="B180" s="1517"/>
      <c r="C180" s="1501" t="s">
        <v>154</v>
      </c>
      <c r="D180" s="1502" t="s">
        <v>155</v>
      </c>
      <c r="E180" s="1503"/>
      <c r="F180" s="1504" t="s">
        <v>156</v>
      </c>
      <c r="G180" s="1505"/>
      <c r="H180" s="1506"/>
      <c r="I180" s="1507" t="s">
        <v>880</v>
      </c>
      <c r="J180" s="1508"/>
      <c r="K180" s="1509"/>
      <c r="L180" s="1501" t="s">
        <v>136</v>
      </c>
      <c r="M180" s="1502"/>
      <c r="N180" s="1503"/>
      <c r="O180" s="1510" t="s">
        <v>138</v>
      </c>
      <c r="P180" s="770"/>
      <c r="Q180" s="770"/>
    </row>
    <row r="181" spans="1:17" ht="20.100000000000001" customHeight="1">
      <c r="A181" s="1517"/>
      <c r="B181" s="1517"/>
      <c r="C181" s="229" t="s">
        <v>882</v>
      </c>
      <c r="D181" s="230" t="s">
        <v>883</v>
      </c>
      <c r="E181" s="24" t="s">
        <v>138</v>
      </c>
      <c r="F181" s="229" t="s">
        <v>882</v>
      </c>
      <c r="G181" s="230" t="s">
        <v>883</v>
      </c>
      <c r="H181" s="24" t="s">
        <v>138</v>
      </c>
      <c r="I181" s="229" t="s">
        <v>882</v>
      </c>
      <c r="J181" s="230" t="s">
        <v>883</v>
      </c>
      <c r="K181" s="24" t="s">
        <v>138</v>
      </c>
      <c r="L181" s="229" t="s">
        <v>882</v>
      </c>
      <c r="M181" s="230" t="s">
        <v>883</v>
      </c>
      <c r="N181" s="24" t="s">
        <v>138</v>
      </c>
      <c r="O181" s="1511"/>
      <c r="P181" s="771"/>
      <c r="Q181" s="771"/>
    </row>
    <row r="182" spans="1:17" ht="40.5" customHeight="1">
      <c r="A182" s="1476" t="s">
        <v>879</v>
      </c>
      <c r="B182" s="1478"/>
      <c r="C182" s="27"/>
      <c r="D182" s="27"/>
      <c r="E182" s="28"/>
      <c r="F182" s="27"/>
      <c r="G182" s="27"/>
      <c r="H182" s="28"/>
      <c r="I182" s="27"/>
      <c r="J182" s="27"/>
      <c r="K182" s="28"/>
      <c r="L182" s="27"/>
      <c r="M182" s="27"/>
      <c r="N182" s="28"/>
      <c r="O182" s="27"/>
      <c r="P182" s="771"/>
      <c r="Q182" s="771"/>
    </row>
    <row r="183" spans="1:17" ht="20.100000000000001" customHeight="1">
      <c r="A183" s="239">
        <v>1</v>
      </c>
      <c r="B183" s="241"/>
      <c r="C183" s="25"/>
      <c r="D183" s="25"/>
      <c r="E183" s="234">
        <f>C183+D183</f>
        <v>0</v>
      </c>
      <c r="F183" s="25"/>
      <c r="G183" s="25"/>
      <c r="H183" s="234">
        <f>F183+G183</f>
        <v>0</v>
      </c>
      <c r="I183" s="25"/>
      <c r="J183" s="25"/>
      <c r="K183" s="234">
        <f>I183+J183</f>
        <v>0</v>
      </c>
      <c r="L183" s="25"/>
      <c r="M183" s="25"/>
      <c r="N183" s="234">
        <f>L183+M183</f>
        <v>0</v>
      </c>
      <c r="O183" s="26">
        <f>M183+N183</f>
        <v>0</v>
      </c>
      <c r="P183" s="779"/>
      <c r="Q183" s="779"/>
    </row>
    <row r="184" spans="1:17" ht="20.100000000000001" customHeight="1">
      <c r="A184" s="240">
        <v>2</v>
      </c>
      <c r="B184" s="242"/>
      <c r="C184" s="236"/>
      <c r="D184" s="236"/>
      <c r="E184" s="237">
        <f>C184+D184</f>
        <v>0</v>
      </c>
      <c r="F184" s="236"/>
      <c r="G184" s="236"/>
      <c r="H184" s="237">
        <f>F184+G184</f>
        <v>0</v>
      </c>
      <c r="I184" s="236"/>
      <c r="J184" s="236"/>
      <c r="K184" s="237">
        <f>I184+J184</f>
        <v>0</v>
      </c>
      <c r="L184" s="236"/>
      <c r="M184" s="236"/>
      <c r="N184" s="237">
        <f>L184+M184</f>
        <v>0</v>
      </c>
      <c r="O184" s="238">
        <f>M184+N184</f>
        <v>0</v>
      </c>
      <c r="P184" s="222"/>
      <c r="Q184" s="222"/>
    </row>
    <row r="185" spans="1:17" ht="20.100000000000001" customHeight="1">
      <c r="A185" s="240">
        <v>3</v>
      </c>
      <c r="B185" s="242"/>
      <c r="C185" s="236"/>
      <c r="D185" s="236"/>
      <c r="E185" s="237">
        <f t="shared" ref="E185:E188" si="37">C185+D185</f>
        <v>0</v>
      </c>
      <c r="F185" s="236"/>
      <c r="G185" s="236"/>
      <c r="H185" s="237">
        <f t="shared" ref="H185:H188" si="38">F185+G185</f>
        <v>0</v>
      </c>
      <c r="I185" s="236"/>
      <c r="J185" s="236"/>
      <c r="K185" s="237">
        <f t="shared" ref="K185:K188" si="39">I185+J185</f>
        <v>0</v>
      </c>
      <c r="L185" s="236"/>
      <c r="M185" s="236"/>
      <c r="N185" s="237">
        <f t="shared" ref="N185:O188" si="40">L185+M185</f>
        <v>0</v>
      </c>
      <c r="O185" s="238">
        <f t="shared" si="40"/>
        <v>0</v>
      </c>
      <c r="P185" s="222"/>
      <c r="Q185" s="222"/>
    </row>
    <row r="186" spans="1:17" ht="20.100000000000001" customHeight="1">
      <c r="A186" s="240">
        <v>4</v>
      </c>
      <c r="B186" s="242"/>
      <c r="C186" s="236"/>
      <c r="D186" s="236"/>
      <c r="E186" s="237">
        <f t="shared" si="37"/>
        <v>0</v>
      </c>
      <c r="F186" s="236"/>
      <c r="G186" s="236"/>
      <c r="H186" s="237">
        <f t="shared" si="38"/>
        <v>0</v>
      </c>
      <c r="I186" s="236"/>
      <c r="J186" s="236"/>
      <c r="K186" s="237">
        <f t="shared" si="39"/>
        <v>0</v>
      </c>
      <c r="L186" s="236"/>
      <c r="M186" s="236"/>
      <c r="N186" s="237">
        <f t="shared" si="40"/>
        <v>0</v>
      </c>
      <c r="O186" s="238">
        <f t="shared" si="40"/>
        <v>0</v>
      </c>
      <c r="P186" s="222"/>
      <c r="Q186" s="222"/>
    </row>
    <row r="187" spans="1:17" ht="20.100000000000001" customHeight="1">
      <c r="A187" s="240">
        <v>5</v>
      </c>
      <c r="B187" s="242"/>
      <c r="C187" s="236"/>
      <c r="D187" s="236"/>
      <c r="E187" s="237">
        <f t="shared" si="37"/>
        <v>0</v>
      </c>
      <c r="F187" s="236"/>
      <c r="G187" s="236"/>
      <c r="H187" s="237">
        <f t="shared" si="38"/>
        <v>0</v>
      </c>
      <c r="I187" s="236"/>
      <c r="J187" s="236"/>
      <c r="K187" s="237">
        <f t="shared" si="39"/>
        <v>0</v>
      </c>
      <c r="L187" s="236"/>
      <c r="M187" s="236"/>
      <c r="N187" s="237">
        <f t="shared" si="40"/>
        <v>0</v>
      </c>
      <c r="O187" s="238">
        <f t="shared" si="40"/>
        <v>0</v>
      </c>
      <c r="P187" s="222"/>
      <c r="Q187" s="222"/>
    </row>
    <row r="188" spans="1:17" ht="20.100000000000001" customHeight="1">
      <c r="A188" s="269">
        <v>6</v>
      </c>
      <c r="B188" s="243"/>
      <c r="C188" s="235"/>
      <c r="D188" s="235"/>
      <c r="E188" s="196">
        <f t="shared" si="37"/>
        <v>0</v>
      </c>
      <c r="F188" s="235"/>
      <c r="G188" s="235"/>
      <c r="H188" s="196">
        <f t="shared" si="38"/>
        <v>0</v>
      </c>
      <c r="I188" s="235"/>
      <c r="J188" s="235"/>
      <c r="K188" s="196">
        <f t="shared" si="39"/>
        <v>0</v>
      </c>
      <c r="L188" s="235"/>
      <c r="M188" s="235"/>
      <c r="N188" s="196">
        <f t="shared" si="40"/>
        <v>0</v>
      </c>
      <c r="O188" s="29">
        <f t="shared" si="40"/>
        <v>0</v>
      </c>
      <c r="P188" s="222"/>
      <c r="Q188" s="222"/>
    </row>
    <row r="189" spans="1:17" ht="20.100000000000001" customHeight="1">
      <c r="A189" s="1514" t="s">
        <v>893</v>
      </c>
      <c r="B189" s="1515"/>
      <c r="C189" s="231">
        <f>SUM(C183:C187)</f>
        <v>0</v>
      </c>
      <c r="D189" s="232">
        <f>SUM(D183:D187)</f>
        <v>0</v>
      </c>
      <c r="E189" s="233">
        <f>C189+D189</f>
        <v>0</v>
      </c>
      <c r="F189" s="231">
        <f>SUM(F183:F187)</f>
        <v>0</v>
      </c>
      <c r="G189" s="232">
        <f>SUM(G183:G187)</f>
        <v>0</v>
      </c>
      <c r="H189" s="233">
        <f>F189+G189</f>
        <v>0</v>
      </c>
      <c r="I189" s="231">
        <f>SUM(I183:I187)</f>
        <v>0</v>
      </c>
      <c r="J189" s="232">
        <f>SUM(J183:J187)</f>
        <v>0</v>
      </c>
      <c r="K189" s="233">
        <f>I189+J189</f>
        <v>0</v>
      </c>
      <c r="L189" s="231">
        <f>SUM(L183:L187)</f>
        <v>0</v>
      </c>
      <c r="M189" s="232">
        <f>SUM(M183:M187)</f>
        <v>0</v>
      </c>
      <c r="N189" s="233">
        <f>L189+M189</f>
        <v>0</v>
      </c>
      <c r="O189" s="249">
        <f>E189+H189+K189+N189</f>
        <v>0</v>
      </c>
      <c r="P189" s="222"/>
      <c r="Q189" s="222"/>
    </row>
    <row r="190" spans="1:17" ht="20.100000000000001" customHeight="1">
      <c r="A190" s="1476" t="s">
        <v>149</v>
      </c>
      <c r="B190" s="1478"/>
      <c r="C190" s="27"/>
      <c r="D190" s="27"/>
      <c r="E190" s="28"/>
      <c r="F190" s="27"/>
      <c r="G190" s="27"/>
      <c r="H190" s="28"/>
      <c r="I190" s="27"/>
      <c r="J190" s="27"/>
      <c r="K190" s="28"/>
      <c r="L190" s="27"/>
      <c r="M190" s="27"/>
      <c r="N190" s="28"/>
      <c r="O190" s="27"/>
      <c r="P190" s="778"/>
      <c r="Q190" s="778"/>
    </row>
    <row r="191" spans="1:17" ht="20.100000000000001" customHeight="1">
      <c r="A191" s="239">
        <v>1</v>
      </c>
      <c r="B191" s="241"/>
      <c r="C191" s="25"/>
      <c r="D191" s="25"/>
      <c r="E191" s="234">
        <f>C191+D191</f>
        <v>0</v>
      </c>
      <c r="F191" s="25"/>
      <c r="G191" s="25"/>
      <c r="H191" s="234">
        <f>F191+G191</f>
        <v>0</v>
      </c>
      <c r="I191" s="25"/>
      <c r="J191" s="25"/>
      <c r="K191" s="234">
        <f>I191+J191</f>
        <v>0</v>
      </c>
      <c r="L191" s="25"/>
      <c r="M191" s="25"/>
      <c r="N191" s="234">
        <f>L191+M191</f>
        <v>0</v>
      </c>
      <c r="O191" s="26">
        <f>M191+N191</f>
        <v>0</v>
      </c>
      <c r="P191" s="779"/>
      <c r="Q191" s="779"/>
    </row>
    <row r="192" spans="1:17" ht="20.100000000000001" customHeight="1">
      <c r="A192" s="240">
        <v>2</v>
      </c>
      <c r="B192" s="242"/>
      <c r="C192" s="236"/>
      <c r="D192" s="236"/>
      <c r="E192" s="237">
        <f>C192+D192</f>
        <v>0</v>
      </c>
      <c r="F192" s="236"/>
      <c r="G192" s="236"/>
      <c r="H192" s="237">
        <f>F192+G192</f>
        <v>0</v>
      </c>
      <c r="I192" s="236"/>
      <c r="J192" s="236"/>
      <c r="K192" s="237">
        <f>I192+J192</f>
        <v>0</v>
      </c>
      <c r="L192" s="236"/>
      <c r="M192" s="236"/>
      <c r="N192" s="237">
        <f>L192+M192</f>
        <v>0</v>
      </c>
      <c r="O192" s="238">
        <f>M192+N192</f>
        <v>0</v>
      </c>
      <c r="P192" s="222"/>
      <c r="Q192" s="222"/>
    </row>
    <row r="193" spans="1:17" ht="20.100000000000001" customHeight="1">
      <c r="A193" s="240">
        <v>3</v>
      </c>
      <c r="B193" s="242"/>
      <c r="C193" s="236"/>
      <c r="D193" s="236"/>
      <c r="E193" s="237">
        <f t="shared" ref="E193:E196" si="41">C193+D193</f>
        <v>0</v>
      </c>
      <c r="F193" s="236"/>
      <c r="G193" s="236"/>
      <c r="H193" s="237">
        <f t="shared" ref="H193:H196" si="42">F193+G193</f>
        <v>0</v>
      </c>
      <c r="I193" s="236"/>
      <c r="J193" s="236"/>
      <c r="K193" s="237">
        <f t="shared" ref="K193:K196" si="43">I193+J193</f>
        <v>0</v>
      </c>
      <c r="L193" s="236"/>
      <c r="M193" s="236"/>
      <c r="N193" s="237">
        <f t="shared" ref="N193:O196" si="44">L193+M193</f>
        <v>0</v>
      </c>
      <c r="O193" s="238">
        <f t="shared" si="44"/>
        <v>0</v>
      </c>
      <c r="P193" s="222"/>
      <c r="Q193" s="222"/>
    </row>
    <row r="194" spans="1:17" ht="20.100000000000001" customHeight="1">
      <c r="A194" s="240">
        <v>4</v>
      </c>
      <c r="B194" s="242"/>
      <c r="C194" s="236"/>
      <c r="D194" s="236"/>
      <c r="E194" s="237">
        <f t="shared" si="41"/>
        <v>0</v>
      </c>
      <c r="F194" s="236"/>
      <c r="G194" s="236"/>
      <c r="H194" s="237">
        <f t="shared" si="42"/>
        <v>0</v>
      </c>
      <c r="I194" s="236"/>
      <c r="J194" s="236"/>
      <c r="K194" s="237">
        <f t="shared" si="43"/>
        <v>0</v>
      </c>
      <c r="L194" s="236"/>
      <c r="M194" s="236"/>
      <c r="N194" s="237">
        <f t="shared" si="44"/>
        <v>0</v>
      </c>
      <c r="O194" s="238">
        <f t="shared" si="44"/>
        <v>0</v>
      </c>
      <c r="P194" s="222"/>
      <c r="Q194" s="222"/>
    </row>
    <row r="195" spans="1:17" ht="20.100000000000001" customHeight="1">
      <c r="A195" s="240">
        <v>5</v>
      </c>
      <c r="B195" s="242"/>
      <c r="C195" s="236"/>
      <c r="D195" s="236"/>
      <c r="E195" s="237">
        <f t="shared" si="41"/>
        <v>0</v>
      </c>
      <c r="F195" s="236"/>
      <c r="G195" s="236"/>
      <c r="H195" s="237">
        <f t="shared" si="42"/>
        <v>0</v>
      </c>
      <c r="I195" s="236"/>
      <c r="J195" s="236"/>
      <c r="K195" s="237">
        <f t="shared" si="43"/>
        <v>0</v>
      </c>
      <c r="L195" s="236"/>
      <c r="M195" s="236"/>
      <c r="N195" s="237">
        <f t="shared" si="44"/>
        <v>0</v>
      </c>
      <c r="O195" s="238">
        <f t="shared" si="44"/>
        <v>0</v>
      </c>
      <c r="P195" s="222"/>
      <c r="Q195" s="222"/>
    </row>
    <row r="196" spans="1:17" ht="20.100000000000001" customHeight="1">
      <c r="A196" s="269">
        <v>6</v>
      </c>
      <c r="B196" s="243"/>
      <c r="C196" s="235"/>
      <c r="D196" s="235"/>
      <c r="E196" s="196">
        <f t="shared" si="41"/>
        <v>0</v>
      </c>
      <c r="F196" s="235"/>
      <c r="G196" s="235"/>
      <c r="H196" s="196">
        <f t="shared" si="42"/>
        <v>0</v>
      </c>
      <c r="I196" s="235"/>
      <c r="J196" s="235"/>
      <c r="K196" s="196">
        <f t="shared" si="43"/>
        <v>0</v>
      </c>
      <c r="L196" s="235"/>
      <c r="M196" s="235"/>
      <c r="N196" s="196">
        <f t="shared" si="44"/>
        <v>0</v>
      </c>
      <c r="O196" s="29">
        <f t="shared" si="44"/>
        <v>0</v>
      </c>
      <c r="P196" s="222"/>
      <c r="Q196" s="222"/>
    </row>
    <row r="197" spans="1:17" ht="20.100000000000001" customHeight="1">
      <c r="A197" s="1514" t="s">
        <v>893</v>
      </c>
      <c r="B197" s="1515"/>
      <c r="C197" s="231">
        <f>SUM(C191:C195)</f>
        <v>0</v>
      </c>
      <c r="D197" s="232">
        <f>SUM(D191:D195)</f>
        <v>0</v>
      </c>
      <c r="E197" s="233">
        <f>C197+D197</f>
        <v>0</v>
      </c>
      <c r="F197" s="231">
        <f>SUM(F191:F195)</f>
        <v>0</v>
      </c>
      <c r="G197" s="232">
        <f>SUM(G191:G195)</f>
        <v>0</v>
      </c>
      <c r="H197" s="233">
        <f>F197+G197</f>
        <v>0</v>
      </c>
      <c r="I197" s="231">
        <f>SUM(I191:I195)</f>
        <v>0</v>
      </c>
      <c r="J197" s="232">
        <f>SUM(J191:J195)</f>
        <v>0</v>
      </c>
      <c r="K197" s="233">
        <f>I197+J197</f>
        <v>0</v>
      </c>
      <c r="L197" s="231">
        <f>SUM(L191:L195)</f>
        <v>0</v>
      </c>
      <c r="M197" s="232">
        <f>SUM(M191:M195)</f>
        <v>0</v>
      </c>
      <c r="N197" s="233">
        <f>L197+M197</f>
        <v>0</v>
      </c>
      <c r="O197" s="249">
        <f>E197+H197+K197+N197</f>
        <v>0</v>
      </c>
      <c r="P197" s="222"/>
      <c r="Q197" s="222"/>
    </row>
    <row r="198" spans="1:17" ht="20.100000000000001" customHeight="1">
      <c r="A198" s="1476" t="s">
        <v>150</v>
      </c>
      <c r="B198" s="1478"/>
      <c r="C198" s="27"/>
      <c r="D198" s="27"/>
      <c r="E198" s="28"/>
      <c r="F198" s="27"/>
      <c r="G198" s="27"/>
      <c r="H198" s="28"/>
      <c r="I198" s="27"/>
      <c r="J198" s="27"/>
      <c r="K198" s="28"/>
      <c r="L198" s="27"/>
      <c r="M198" s="27"/>
      <c r="N198" s="28"/>
      <c r="O198" s="27"/>
      <c r="P198" s="778"/>
      <c r="Q198" s="778"/>
    </row>
    <row r="199" spans="1:17" ht="20.100000000000001" customHeight="1">
      <c r="A199" s="239">
        <v>1</v>
      </c>
      <c r="B199" s="241"/>
      <c r="C199" s="25"/>
      <c r="D199" s="25"/>
      <c r="E199" s="234">
        <f>C199+D199</f>
        <v>0</v>
      </c>
      <c r="F199" s="25"/>
      <c r="G199" s="25"/>
      <c r="H199" s="234">
        <f>F199+G199</f>
        <v>0</v>
      </c>
      <c r="I199" s="25"/>
      <c r="J199" s="25"/>
      <c r="K199" s="234">
        <f>I199+J199</f>
        <v>0</v>
      </c>
      <c r="L199" s="25"/>
      <c r="M199" s="25"/>
      <c r="N199" s="234">
        <f>L199+M199</f>
        <v>0</v>
      </c>
      <c r="O199" s="26">
        <f>M199+N199</f>
        <v>0</v>
      </c>
      <c r="P199" s="779"/>
      <c r="Q199" s="779"/>
    </row>
    <row r="200" spans="1:17" ht="20.100000000000001" customHeight="1">
      <c r="A200" s="240">
        <v>2</v>
      </c>
      <c r="B200" s="242"/>
      <c r="C200" s="236"/>
      <c r="D200" s="236"/>
      <c r="E200" s="237">
        <f>C200+D200</f>
        <v>0</v>
      </c>
      <c r="F200" s="236"/>
      <c r="G200" s="236"/>
      <c r="H200" s="237">
        <f>F200+G200</f>
        <v>0</v>
      </c>
      <c r="I200" s="236"/>
      <c r="J200" s="236"/>
      <c r="K200" s="237">
        <f>I200+J200</f>
        <v>0</v>
      </c>
      <c r="L200" s="236"/>
      <c r="M200" s="236"/>
      <c r="N200" s="237">
        <f>L200+M200</f>
        <v>0</v>
      </c>
      <c r="O200" s="238">
        <f>M200+N200</f>
        <v>0</v>
      </c>
      <c r="P200" s="222"/>
      <c r="Q200" s="222"/>
    </row>
    <row r="201" spans="1:17" ht="20.100000000000001" customHeight="1">
      <c r="A201" s="240">
        <v>3</v>
      </c>
      <c r="B201" s="242"/>
      <c r="C201" s="236"/>
      <c r="D201" s="236"/>
      <c r="E201" s="237">
        <f t="shared" ref="E201:E204" si="45">C201+D201</f>
        <v>0</v>
      </c>
      <c r="F201" s="236"/>
      <c r="G201" s="236"/>
      <c r="H201" s="237">
        <f t="shared" ref="H201:H204" si="46">F201+G201</f>
        <v>0</v>
      </c>
      <c r="I201" s="236"/>
      <c r="J201" s="236"/>
      <c r="K201" s="237">
        <f t="shared" ref="K201:K204" si="47">I201+J201</f>
        <v>0</v>
      </c>
      <c r="L201" s="236"/>
      <c r="M201" s="236"/>
      <c r="N201" s="237">
        <f t="shared" ref="N201:O204" si="48">L201+M201</f>
        <v>0</v>
      </c>
      <c r="O201" s="238">
        <f t="shared" si="48"/>
        <v>0</v>
      </c>
      <c r="P201" s="222"/>
      <c r="Q201" s="222"/>
    </row>
    <row r="202" spans="1:17" ht="20.100000000000001" customHeight="1">
      <c r="A202" s="240">
        <v>4</v>
      </c>
      <c r="B202" s="242"/>
      <c r="C202" s="236"/>
      <c r="D202" s="236"/>
      <c r="E202" s="237">
        <f t="shared" si="45"/>
        <v>0</v>
      </c>
      <c r="F202" s="236"/>
      <c r="G202" s="236"/>
      <c r="H202" s="237">
        <f t="shared" si="46"/>
        <v>0</v>
      </c>
      <c r="I202" s="236"/>
      <c r="J202" s="236"/>
      <c r="K202" s="237">
        <f t="shared" si="47"/>
        <v>0</v>
      </c>
      <c r="L202" s="236"/>
      <c r="M202" s="236"/>
      <c r="N202" s="237">
        <f t="shared" si="48"/>
        <v>0</v>
      </c>
      <c r="O202" s="238">
        <f t="shared" si="48"/>
        <v>0</v>
      </c>
      <c r="P202" s="222"/>
      <c r="Q202" s="222"/>
    </row>
    <row r="203" spans="1:17" ht="20.100000000000001" customHeight="1">
      <c r="A203" s="240">
        <v>5</v>
      </c>
      <c r="B203" s="242"/>
      <c r="C203" s="236"/>
      <c r="D203" s="236"/>
      <c r="E203" s="237">
        <f t="shared" si="45"/>
        <v>0</v>
      </c>
      <c r="F203" s="236"/>
      <c r="G203" s="236"/>
      <c r="H203" s="237">
        <f t="shared" si="46"/>
        <v>0</v>
      </c>
      <c r="I203" s="236"/>
      <c r="J203" s="236"/>
      <c r="K203" s="237">
        <f t="shared" si="47"/>
        <v>0</v>
      </c>
      <c r="L203" s="236"/>
      <c r="M203" s="236"/>
      <c r="N203" s="237">
        <f t="shared" si="48"/>
        <v>0</v>
      </c>
      <c r="O203" s="238">
        <f t="shared" si="48"/>
        <v>0</v>
      </c>
      <c r="P203" s="222"/>
      <c r="Q203" s="222"/>
    </row>
    <row r="204" spans="1:17" ht="20.100000000000001" customHeight="1">
      <c r="A204" s="269">
        <v>6</v>
      </c>
      <c r="B204" s="243"/>
      <c r="C204" s="235"/>
      <c r="D204" s="235"/>
      <c r="E204" s="196">
        <f t="shared" si="45"/>
        <v>0</v>
      </c>
      <c r="F204" s="235"/>
      <c r="G204" s="235"/>
      <c r="H204" s="196">
        <f t="shared" si="46"/>
        <v>0</v>
      </c>
      <c r="I204" s="235"/>
      <c r="J204" s="235"/>
      <c r="K204" s="196">
        <f t="shared" si="47"/>
        <v>0</v>
      </c>
      <c r="L204" s="235"/>
      <c r="M204" s="235"/>
      <c r="N204" s="196">
        <f t="shared" si="48"/>
        <v>0</v>
      </c>
      <c r="O204" s="29">
        <f t="shared" si="48"/>
        <v>0</v>
      </c>
      <c r="P204" s="222"/>
      <c r="Q204" s="222"/>
    </row>
    <row r="205" spans="1:17" ht="20.100000000000001" customHeight="1">
      <c r="A205" s="1514" t="s">
        <v>893</v>
      </c>
      <c r="B205" s="1515"/>
      <c r="C205" s="231">
        <f>SUM(C199:C203)</f>
        <v>0</v>
      </c>
      <c r="D205" s="232">
        <f>SUM(D199:D203)</f>
        <v>0</v>
      </c>
      <c r="E205" s="233">
        <f>C205+D205</f>
        <v>0</v>
      </c>
      <c r="F205" s="231">
        <f>SUM(F199:F203)</f>
        <v>0</v>
      </c>
      <c r="G205" s="232">
        <f>SUM(G199:G203)</f>
        <v>0</v>
      </c>
      <c r="H205" s="233">
        <f>F205+G205</f>
        <v>0</v>
      </c>
      <c r="I205" s="231">
        <f>SUM(I199:I203)</f>
        <v>0</v>
      </c>
      <c r="J205" s="232">
        <f>SUM(J199:J203)</f>
        <v>0</v>
      </c>
      <c r="K205" s="233">
        <f>I205+J205</f>
        <v>0</v>
      </c>
      <c r="L205" s="231">
        <f>SUM(L199:L203)</f>
        <v>0</v>
      </c>
      <c r="M205" s="232">
        <f>SUM(M199:M203)</f>
        <v>0</v>
      </c>
      <c r="N205" s="233">
        <f>L205+M205</f>
        <v>0</v>
      </c>
      <c r="O205" s="249">
        <f>E205+H205+K205+N205</f>
        <v>0</v>
      </c>
      <c r="P205" s="222"/>
      <c r="Q205" s="222"/>
    </row>
    <row r="206" spans="1:17" ht="20.100000000000001" customHeight="1">
      <c r="A206" s="1476" t="s">
        <v>151</v>
      </c>
      <c r="B206" s="1478"/>
      <c r="C206" s="27"/>
      <c r="D206" s="27"/>
      <c r="E206" s="28"/>
      <c r="F206" s="27"/>
      <c r="G206" s="27"/>
      <c r="H206" s="28"/>
      <c r="I206" s="27"/>
      <c r="J206" s="27"/>
      <c r="K206" s="28"/>
      <c r="L206" s="27"/>
      <c r="M206" s="27"/>
      <c r="N206" s="28"/>
      <c r="O206" s="27"/>
      <c r="P206" s="778"/>
      <c r="Q206" s="778"/>
    </row>
    <row r="207" spans="1:17" ht="20.100000000000001" customHeight="1">
      <c r="A207" s="239">
        <v>1</v>
      </c>
      <c r="B207" s="241"/>
      <c r="C207" s="25"/>
      <c r="D207" s="25"/>
      <c r="E207" s="234">
        <f>C207+D207</f>
        <v>0</v>
      </c>
      <c r="F207" s="25"/>
      <c r="G207" s="25"/>
      <c r="H207" s="234">
        <f>F207+G207</f>
        <v>0</v>
      </c>
      <c r="I207" s="25"/>
      <c r="J207" s="25"/>
      <c r="K207" s="234">
        <f>I207+J207</f>
        <v>0</v>
      </c>
      <c r="L207" s="25"/>
      <c r="M207" s="25"/>
      <c r="N207" s="234">
        <f>L207+M207</f>
        <v>0</v>
      </c>
      <c r="O207" s="26">
        <f>M207+N207</f>
        <v>0</v>
      </c>
      <c r="P207" s="779"/>
      <c r="Q207" s="779"/>
    </row>
    <row r="208" spans="1:17" ht="20.100000000000001" customHeight="1">
      <c r="A208" s="240">
        <v>2</v>
      </c>
      <c r="B208" s="242"/>
      <c r="C208" s="236"/>
      <c r="D208" s="236"/>
      <c r="E208" s="237">
        <f>C208+D208</f>
        <v>0</v>
      </c>
      <c r="F208" s="236"/>
      <c r="G208" s="236"/>
      <c r="H208" s="237">
        <f>F208+G208</f>
        <v>0</v>
      </c>
      <c r="I208" s="236"/>
      <c r="J208" s="236"/>
      <c r="K208" s="237">
        <f>I208+J208</f>
        <v>0</v>
      </c>
      <c r="L208" s="236"/>
      <c r="M208" s="236"/>
      <c r="N208" s="237">
        <f>L208+M208</f>
        <v>0</v>
      </c>
      <c r="O208" s="238">
        <f>M208+N208</f>
        <v>0</v>
      </c>
      <c r="P208" s="222"/>
      <c r="Q208" s="222"/>
    </row>
    <row r="209" spans="1:17" ht="20.100000000000001" customHeight="1">
      <c r="A209" s="240">
        <v>3</v>
      </c>
      <c r="B209" s="242"/>
      <c r="C209" s="236"/>
      <c r="D209" s="236"/>
      <c r="E209" s="237">
        <f t="shared" ref="E209:E212" si="49">C209+D209</f>
        <v>0</v>
      </c>
      <c r="F209" s="236"/>
      <c r="G209" s="236"/>
      <c r="H209" s="237">
        <f t="shared" ref="H209:H212" si="50">F209+G209</f>
        <v>0</v>
      </c>
      <c r="I209" s="236"/>
      <c r="J209" s="236"/>
      <c r="K209" s="237">
        <f t="shared" ref="K209:K212" si="51">I209+J209</f>
        <v>0</v>
      </c>
      <c r="L209" s="236"/>
      <c r="M209" s="236"/>
      <c r="N209" s="237">
        <f t="shared" ref="N209:O212" si="52">L209+M209</f>
        <v>0</v>
      </c>
      <c r="O209" s="238">
        <f t="shared" si="52"/>
        <v>0</v>
      </c>
      <c r="P209" s="222"/>
      <c r="Q209" s="222"/>
    </row>
    <row r="210" spans="1:17" ht="20.100000000000001" customHeight="1">
      <c r="A210" s="240">
        <v>4</v>
      </c>
      <c r="B210" s="242"/>
      <c r="C210" s="236"/>
      <c r="D210" s="236"/>
      <c r="E210" s="237">
        <f t="shared" si="49"/>
        <v>0</v>
      </c>
      <c r="F210" s="236"/>
      <c r="G210" s="236"/>
      <c r="H210" s="237">
        <f t="shared" si="50"/>
        <v>0</v>
      </c>
      <c r="I210" s="236"/>
      <c r="J210" s="236"/>
      <c r="K210" s="237">
        <f t="shared" si="51"/>
        <v>0</v>
      </c>
      <c r="L210" s="236"/>
      <c r="M210" s="236"/>
      <c r="N210" s="237">
        <f t="shared" si="52"/>
        <v>0</v>
      </c>
      <c r="O210" s="238">
        <f t="shared" si="52"/>
        <v>0</v>
      </c>
      <c r="P210" s="222"/>
      <c r="Q210" s="222"/>
    </row>
    <row r="211" spans="1:17" ht="20.100000000000001" customHeight="1">
      <c r="A211" s="240">
        <v>5</v>
      </c>
      <c r="B211" s="242"/>
      <c r="C211" s="236"/>
      <c r="D211" s="236"/>
      <c r="E211" s="237">
        <f t="shared" si="49"/>
        <v>0</v>
      </c>
      <c r="F211" s="236"/>
      <c r="G211" s="236"/>
      <c r="H211" s="237">
        <f t="shared" si="50"/>
        <v>0</v>
      </c>
      <c r="I211" s="236"/>
      <c r="J211" s="236"/>
      <c r="K211" s="237">
        <f t="shared" si="51"/>
        <v>0</v>
      </c>
      <c r="L211" s="236"/>
      <c r="M211" s="236"/>
      <c r="N211" s="237">
        <f t="shared" si="52"/>
        <v>0</v>
      </c>
      <c r="O211" s="238">
        <f t="shared" si="52"/>
        <v>0</v>
      </c>
      <c r="P211" s="222"/>
      <c r="Q211" s="222"/>
    </row>
    <row r="212" spans="1:17" ht="20.100000000000001" customHeight="1">
      <c r="A212" s="269">
        <v>6</v>
      </c>
      <c r="B212" s="243"/>
      <c r="C212" s="235"/>
      <c r="D212" s="235"/>
      <c r="E212" s="196">
        <f t="shared" si="49"/>
        <v>0</v>
      </c>
      <c r="F212" s="235"/>
      <c r="G212" s="235"/>
      <c r="H212" s="196">
        <f t="shared" si="50"/>
        <v>0</v>
      </c>
      <c r="I212" s="235"/>
      <c r="J212" s="235"/>
      <c r="K212" s="196">
        <f t="shared" si="51"/>
        <v>0</v>
      </c>
      <c r="L212" s="235"/>
      <c r="M212" s="235"/>
      <c r="N212" s="196">
        <f t="shared" si="52"/>
        <v>0</v>
      </c>
      <c r="O212" s="29">
        <f t="shared" si="52"/>
        <v>0</v>
      </c>
      <c r="P212" s="222"/>
      <c r="Q212" s="222"/>
    </row>
    <row r="213" spans="1:17" ht="20.100000000000001" customHeight="1">
      <c r="A213" s="1514" t="s">
        <v>893</v>
      </c>
      <c r="B213" s="1515"/>
      <c r="C213" s="231">
        <f>SUM(C207:C211)</f>
        <v>0</v>
      </c>
      <c r="D213" s="232">
        <f>SUM(D207:D211)</f>
        <v>0</v>
      </c>
      <c r="E213" s="233">
        <f>C213+D213</f>
        <v>0</v>
      </c>
      <c r="F213" s="231">
        <f>SUM(F207:F211)</f>
        <v>0</v>
      </c>
      <c r="G213" s="232">
        <f>SUM(G207:G211)</f>
        <v>0</v>
      </c>
      <c r="H213" s="233">
        <f>F213+G213</f>
        <v>0</v>
      </c>
      <c r="I213" s="231">
        <f>SUM(I207:I211)</f>
        <v>0</v>
      </c>
      <c r="J213" s="232">
        <f>SUM(J207:J211)</f>
        <v>0</v>
      </c>
      <c r="K213" s="233">
        <f>I213+J213</f>
        <v>0</v>
      </c>
      <c r="L213" s="231">
        <f>SUM(L207:L211)</f>
        <v>0</v>
      </c>
      <c r="M213" s="232">
        <f>SUM(M207:M211)</f>
        <v>0</v>
      </c>
      <c r="N213" s="233">
        <f>L213+M213</f>
        <v>0</v>
      </c>
      <c r="O213" s="251">
        <f>E213+H213+K213+N213</f>
        <v>0</v>
      </c>
      <c r="P213" s="222"/>
      <c r="Q213" s="222"/>
    </row>
    <row r="214" spans="1:17" ht="20.100000000000001" customHeight="1">
      <c r="A214" s="1538" t="s">
        <v>980</v>
      </c>
      <c r="B214" s="1539"/>
      <c r="C214" s="822">
        <f t="shared" ref="C214:O214" si="53">C122+C139+C148+C156+C170+C189+C197+C205+C213+C178</f>
        <v>331.93159999999995</v>
      </c>
      <c r="D214" s="822">
        <f t="shared" si="53"/>
        <v>0</v>
      </c>
      <c r="E214" s="822">
        <f t="shared" si="53"/>
        <v>331.93159999999995</v>
      </c>
      <c r="F214" s="822">
        <f t="shared" si="53"/>
        <v>66.745140000000006</v>
      </c>
      <c r="G214" s="822">
        <f t="shared" si="53"/>
        <v>0</v>
      </c>
      <c r="H214" s="822">
        <f t="shared" si="53"/>
        <v>66.745140000000006</v>
      </c>
      <c r="I214" s="822">
        <f t="shared" si="53"/>
        <v>0</v>
      </c>
      <c r="J214" s="822">
        <f t="shared" si="53"/>
        <v>0</v>
      </c>
      <c r="K214" s="822">
        <f t="shared" si="53"/>
        <v>0</v>
      </c>
      <c r="L214" s="822">
        <f t="shared" si="53"/>
        <v>0</v>
      </c>
      <c r="M214" s="822">
        <f t="shared" si="53"/>
        <v>0</v>
      </c>
      <c r="N214" s="822">
        <f t="shared" si="53"/>
        <v>0</v>
      </c>
      <c r="O214" s="822">
        <f t="shared" si="53"/>
        <v>398.67673999999994</v>
      </c>
      <c r="P214" s="778"/>
      <c r="Q214" s="778"/>
    </row>
    <row r="215" spans="1:17" ht="20.100000000000001" customHeight="1">
      <c r="A215" s="1532" t="s">
        <v>982</v>
      </c>
      <c r="B215" s="1532"/>
      <c r="C215" s="823">
        <f t="shared" ref="C215:O215" si="54">C214+C107</f>
        <v>638.38896</v>
      </c>
      <c r="D215" s="823">
        <f t="shared" si="54"/>
        <v>0</v>
      </c>
      <c r="E215" s="823">
        <f t="shared" si="54"/>
        <v>577.56841999999995</v>
      </c>
      <c r="F215" s="823">
        <f t="shared" si="54"/>
        <v>191.07769999999999</v>
      </c>
      <c r="G215" s="823">
        <f t="shared" si="54"/>
        <v>113.53482250000002</v>
      </c>
      <c r="H215" s="823">
        <f t="shared" si="54"/>
        <v>304.61252250000001</v>
      </c>
      <c r="I215" s="823">
        <f t="shared" si="54"/>
        <v>135.80908000000002</v>
      </c>
      <c r="J215" s="823">
        <f t="shared" si="54"/>
        <v>0</v>
      </c>
      <c r="K215" s="823">
        <f t="shared" si="54"/>
        <v>135.80908000000002</v>
      </c>
      <c r="L215" s="823">
        <f t="shared" si="54"/>
        <v>78.834800000000016</v>
      </c>
      <c r="M215" s="823">
        <f t="shared" si="54"/>
        <v>0</v>
      </c>
      <c r="N215" s="823">
        <f t="shared" si="54"/>
        <v>78.834800000000016</v>
      </c>
      <c r="O215" s="823">
        <f t="shared" si="54"/>
        <v>1096.8248225</v>
      </c>
      <c r="P215" s="777"/>
      <c r="Q215" s="777"/>
    </row>
  </sheetData>
  <mergeCells count="87">
    <mergeCell ref="N1:O1"/>
    <mergeCell ref="A2:O2"/>
    <mergeCell ref="B3:H3"/>
    <mergeCell ref="C4:O4"/>
    <mergeCell ref="A6:B8"/>
    <mergeCell ref="C6:O6"/>
    <mergeCell ref="C7:E7"/>
    <mergeCell ref="F7:H7"/>
    <mergeCell ref="I7:K7"/>
    <mergeCell ref="L7:N7"/>
    <mergeCell ref="A43:O43"/>
    <mergeCell ref="O7:O8"/>
    <mergeCell ref="S8:U8"/>
    <mergeCell ref="A9:B9"/>
    <mergeCell ref="C9:E9"/>
    <mergeCell ref="F9:H9"/>
    <mergeCell ref="I9:K9"/>
    <mergeCell ref="L9:N9"/>
    <mergeCell ref="A16:B16"/>
    <mergeCell ref="A17:B17"/>
    <mergeCell ref="A33:B33"/>
    <mergeCell ref="A34:O34"/>
    <mergeCell ref="A42:B42"/>
    <mergeCell ref="A50:B50"/>
    <mergeCell ref="A51:B51"/>
    <mergeCell ref="A64:B64"/>
    <mergeCell ref="A65:O65"/>
    <mergeCell ref="A71:B71"/>
    <mergeCell ref="O73:O74"/>
    <mergeCell ref="A75:B75"/>
    <mergeCell ref="A82:B82"/>
    <mergeCell ref="A83:B83"/>
    <mergeCell ref="A107:B107"/>
    <mergeCell ref="A91:B91"/>
    <mergeCell ref="A98:B98"/>
    <mergeCell ref="A99:B99"/>
    <mergeCell ref="A106:B106"/>
    <mergeCell ref="A90:B90"/>
    <mergeCell ref="A72:B74"/>
    <mergeCell ref="C72:O72"/>
    <mergeCell ref="C73:E73"/>
    <mergeCell ref="F73:H73"/>
    <mergeCell ref="I73:K73"/>
    <mergeCell ref="L73:N73"/>
    <mergeCell ref="C112:O112"/>
    <mergeCell ref="C113:E113"/>
    <mergeCell ref="F113:H113"/>
    <mergeCell ref="I113:K113"/>
    <mergeCell ref="L113:N113"/>
    <mergeCell ref="O113:O114"/>
    <mergeCell ref="A108:O108"/>
    <mergeCell ref="A156:B156"/>
    <mergeCell ref="A115:B115"/>
    <mergeCell ref="C115:E115"/>
    <mergeCell ref="F115:H115"/>
    <mergeCell ref="I115:K115"/>
    <mergeCell ref="A123:B123"/>
    <mergeCell ref="A139:B139"/>
    <mergeCell ref="A140:B140"/>
    <mergeCell ref="A148:B148"/>
    <mergeCell ref="A149:B149"/>
    <mergeCell ref="L115:N115"/>
    <mergeCell ref="A122:B122"/>
    <mergeCell ref="B109:H109"/>
    <mergeCell ref="C110:O110"/>
    <mergeCell ref="A112:B114"/>
    <mergeCell ref="A214:B214"/>
    <mergeCell ref="A215:B215"/>
    <mergeCell ref="A157:B157"/>
    <mergeCell ref="A190:B190"/>
    <mergeCell ref="A198:B198"/>
    <mergeCell ref="A170:B170"/>
    <mergeCell ref="A171:O171"/>
    <mergeCell ref="A178:B178"/>
    <mergeCell ref="A179:B181"/>
    <mergeCell ref="C179:O179"/>
    <mergeCell ref="C180:E180"/>
    <mergeCell ref="F180:H180"/>
    <mergeCell ref="I180:K180"/>
    <mergeCell ref="L180:N180"/>
    <mergeCell ref="O180:O181"/>
    <mergeCell ref="A182:B182"/>
    <mergeCell ref="A189:B189"/>
    <mergeCell ref="A197:B197"/>
    <mergeCell ref="A205:B205"/>
    <mergeCell ref="A213:B213"/>
    <mergeCell ref="A206:B206"/>
  </mergeCells>
  <printOptions horizontalCentered="1"/>
  <pageMargins left="0.25" right="0.25" top="0.5" bottom="0.5" header="0.5" footer="0.5"/>
  <pageSetup paperSize="9" scale="65" fitToWidth="0" fitToHeight="0" orientation="portrait" r:id="rId1"/>
  <headerFooter alignWithMargins="0"/>
  <rowBreaks count="3" manualBreakCount="3">
    <brk id="71" max="14" man="1"/>
    <brk id="107" max="14" man="1"/>
    <brk id="179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80"/>
  <sheetViews>
    <sheetView view="pageBreakPreview" topLeftCell="A22" zoomScaleSheetLayoutView="100" workbookViewId="0">
      <selection activeCell="J27" sqref="J27"/>
    </sheetView>
  </sheetViews>
  <sheetFormatPr defaultRowHeight="14.25"/>
  <cols>
    <col min="1" max="1" width="3.7109375" style="158" customWidth="1"/>
    <col min="2" max="2" width="21.7109375" style="158" customWidth="1"/>
    <col min="3" max="3" width="9.7109375" style="158" customWidth="1"/>
    <col min="4" max="4" width="8.28515625" style="158" customWidth="1"/>
    <col min="5" max="5" width="9.5703125" style="158" customWidth="1"/>
    <col min="6" max="6" width="8.7109375" style="158" customWidth="1"/>
    <col min="7" max="7" width="9.5703125" style="158" customWidth="1"/>
    <col min="8" max="8" width="8.7109375" style="158" customWidth="1"/>
    <col min="9" max="9" width="9.5703125" style="158" customWidth="1"/>
    <col min="10" max="10" width="8.7109375" style="158" customWidth="1"/>
    <col min="11" max="12" width="9.140625" style="164"/>
    <col min="13" max="13" width="9.85546875" style="164" customWidth="1"/>
    <col min="14" max="24" width="9.140625" style="164"/>
    <col min="25" max="16384" width="9.140625" style="158"/>
  </cols>
  <sheetData>
    <row r="1" spans="1:30" ht="18.75" customHeight="1">
      <c r="A1" s="159"/>
      <c r="B1" s="159"/>
      <c r="C1" s="159"/>
      <c r="D1" s="159"/>
      <c r="E1" s="159"/>
      <c r="F1" s="159"/>
      <c r="G1" s="159"/>
      <c r="H1" s="159"/>
      <c r="I1" s="1561" t="s">
        <v>915</v>
      </c>
      <c r="J1" s="1562"/>
    </row>
    <row r="2" spans="1:30" ht="38.25" customHeight="1">
      <c r="A2" s="1564" t="s">
        <v>956</v>
      </c>
      <c r="B2" s="1564"/>
      <c r="C2" s="1564"/>
      <c r="D2" s="1564"/>
      <c r="E2" s="1564"/>
      <c r="F2" s="1564"/>
      <c r="G2" s="1564"/>
      <c r="H2" s="1564"/>
      <c r="I2" s="1564"/>
      <c r="J2" s="1564"/>
    </row>
    <row r="3" spans="1:30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30" ht="17.25" customHeight="1">
      <c r="A4" s="1552" t="s">
        <v>892</v>
      </c>
      <c r="B4" s="1552"/>
      <c r="C4" s="281"/>
      <c r="D4" s="283" t="s">
        <v>1319</v>
      </c>
      <c r="E4" s="283"/>
      <c r="F4" s="283"/>
      <c r="G4" s="282"/>
      <c r="H4" s="282"/>
      <c r="I4" s="282"/>
      <c r="J4" s="282"/>
      <c r="K4" s="319"/>
      <c r="L4" s="319"/>
      <c r="M4" s="319"/>
      <c r="N4" s="319"/>
      <c r="O4" s="319"/>
      <c r="P4" s="319"/>
      <c r="Q4" s="319"/>
    </row>
    <row r="5" spans="1:30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30" ht="28.5" customHeight="1">
      <c r="A6" s="1555" t="s">
        <v>959</v>
      </c>
      <c r="B6" s="1556"/>
      <c r="C6" s="1395" t="s">
        <v>961</v>
      </c>
      <c r="D6" s="1572" t="s">
        <v>975</v>
      </c>
      <c r="E6" s="1570" t="s">
        <v>1078</v>
      </c>
      <c r="F6" s="1571"/>
      <c r="G6" s="1570" t="s">
        <v>1108</v>
      </c>
      <c r="H6" s="1571"/>
      <c r="I6" s="1570" t="s">
        <v>1098</v>
      </c>
      <c r="J6" s="1571"/>
    </row>
    <row r="7" spans="1:30" ht="15" customHeight="1">
      <c r="A7" s="1557"/>
      <c r="B7" s="1558"/>
      <c r="C7" s="1395"/>
      <c r="D7" s="1572"/>
      <c r="E7" s="1555" t="s">
        <v>973</v>
      </c>
      <c r="F7" s="1547" t="s">
        <v>966</v>
      </c>
      <c r="G7" s="1555" t="s">
        <v>973</v>
      </c>
      <c r="H7" s="1547" t="s">
        <v>966</v>
      </c>
      <c r="I7" s="1555" t="s">
        <v>973</v>
      </c>
      <c r="J7" s="1547" t="s">
        <v>966</v>
      </c>
    </row>
    <row r="8" spans="1:30" ht="14.25" customHeight="1">
      <c r="A8" s="1557"/>
      <c r="B8" s="1558"/>
      <c r="C8" s="1553" t="s">
        <v>974</v>
      </c>
      <c r="D8" s="1553" t="s">
        <v>974</v>
      </c>
      <c r="E8" s="1557"/>
      <c r="F8" s="1548"/>
      <c r="G8" s="1557"/>
      <c r="H8" s="1548"/>
      <c r="I8" s="1557"/>
      <c r="J8" s="1548"/>
    </row>
    <row r="9" spans="1:30" ht="14.25" customHeight="1">
      <c r="A9" s="1559"/>
      <c r="B9" s="1560"/>
      <c r="C9" s="1554"/>
      <c r="D9" s="1554"/>
      <c r="E9" s="1557"/>
      <c r="F9" s="1549"/>
      <c r="G9" s="1557"/>
      <c r="H9" s="1549"/>
      <c r="I9" s="1557"/>
      <c r="J9" s="1549"/>
    </row>
    <row r="10" spans="1:30" ht="20.100000000000001" customHeight="1">
      <c r="A10" s="1476" t="s">
        <v>978</v>
      </c>
      <c r="B10" s="1477"/>
      <c r="C10" s="1477"/>
      <c r="D10" s="1477"/>
      <c r="E10" s="1477"/>
      <c r="F10" s="1477"/>
      <c r="G10" s="1477"/>
      <c r="H10" s="1477"/>
      <c r="I10" s="1477"/>
      <c r="J10" s="1478"/>
    </row>
    <row r="11" spans="1:30" ht="20.100000000000001" customHeight="1">
      <c r="A11" s="355">
        <v>1</v>
      </c>
      <c r="B11" s="356" t="s">
        <v>1140</v>
      </c>
      <c r="C11" s="357"/>
      <c r="D11" s="358"/>
      <c r="E11" s="359"/>
      <c r="F11" s="360"/>
      <c r="G11" s="359">
        <v>11</v>
      </c>
      <c r="H11" s="360">
        <f>G11*29000/1000000</f>
        <v>0.31900000000000001</v>
      </c>
      <c r="I11" s="359">
        <v>18</v>
      </c>
      <c r="J11" s="360">
        <f>I11*29000/1000000</f>
        <v>0.52200000000000002</v>
      </c>
      <c r="L11" s="323" t="s">
        <v>962</v>
      </c>
      <c r="M11" s="323"/>
      <c r="O11" s="322" t="s">
        <v>960</v>
      </c>
    </row>
    <row r="12" spans="1:30" ht="20.100000000000001" customHeight="1">
      <c r="A12" s="355">
        <v>2</v>
      </c>
      <c r="B12" s="362" t="s">
        <v>479</v>
      </c>
      <c r="C12" s="363"/>
      <c r="D12" s="364"/>
      <c r="E12" s="365"/>
      <c r="F12" s="366"/>
      <c r="G12" s="365">
        <v>24</v>
      </c>
      <c r="H12" s="366">
        <f>SUM(G12*0.006)</f>
        <v>0.14400000000000002</v>
      </c>
      <c r="I12" s="365">
        <v>22</v>
      </c>
      <c r="J12" s="366">
        <f>SUM(I12*0.006)</f>
        <v>0.13200000000000001</v>
      </c>
      <c r="L12" s="324" t="s">
        <v>967</v>
      </c>
      <c r="M12" s="324"/>
      <c r="N12" s="324"/>
      <c r="O12" s="321" t="s">
        <v>970</v>
      </c>
      <c r="Y12" s="164"/>
      <c r="Z12" s="164"/>
      <c r="AA12" s="164"/>
      <c r="AB12" s="164"/>
      <c r="AC12" s="164"/>
      <c r="AD12" s="164"/>
    </row>
    <row r="13" spans="1:30" ht="20.100000000000001" customHeight="1">
      <c r="A13" s="355">
        <v>3</v>
      </c>
      <c r="B13" s="362" t="s">
        <v>421</v>
      </c>
      <c r="C13" s="363"/>
      <c r="D13" s="364"/>
      <c r="E13" s="365"/>
      <c r="F13" s="366"/>
      <c r="G13" s="365">
        <v>20</v>
      </c>
      <c r="H13" s="366">
        <f>SUM(G13*0.072)</f>
        <v>1.44</v>
      </c>
      <c r="I13" s="365"/>
      <c r="J13" s="366"/>
      <c r="L13" s="324" t="s">
        <v>976</v>
      </c>
      <c r="M13" s="324"/>
      <c r="N13" s="324"/>
      <c r="O13" s="321" t="s">
        <v>969</v>
      </c>
      <c r="Y13" s="164"/>
      <c r="Z13" s="164"/>
      <c r="AA13" s="164"/>
      <c r="AB13" s="164"/>
      <c r="AC13" s="164"/>
      <c r="AD13" s="164"/>
    </row>
    <row r="14" spans="1:30" ht="20.100000000000001" customHeight="1">
      <c r="A14" s="355">
        <v>4</v>
      </c>
      <c r="B14" s="362" t="s">
        <v>332</v>
      </c>
      <c r="C14" s="363"/>
      <c r="D14" s="364"/>
      <c r="E14" s="365"/>
      <c r="F14" s="366"/>
      <c r="G14" s="365"/>
      <c r="H14" s="366"/>
      <c r="I14" s="365">
        <v>20</v>
      </c>
      <c r="J14" s="366">
        <f>I14*10000/1000000</f>
        <v>0.2</v>
      </c>
      <c r="L14" s="164" t="s">
        <v>977</v>
      </c>
      <c r="O14" s="321" t="s">
        <v>885</v>
      </c>
      <c r="Y14" s="164"/>
      <c r="Z14" s="164"/>
      <c r="AA14" s="164"/>
      <c r="AB14" s="164"/>
      <c r="AC14" s="164"/>
      <c r="AD14" s="164"/>
    </row>
    <row r="15" spans="1:30" ht="20.100000000000001" customHeight="1">
      <c r="A15" s="355">
        <v>5</v>
      </c>
      <c r="B15" s="362" t="s">
        <v>513</v>
      </c>
      <c r="C15" s="363"/>
      <c r="D15" s="364"/>
      <c r="E15" s="365"/>
      <c r="F15" s="366"/>
      <c r="G15" s="365"/>
      <c r="H15" s="366"/>
      <c r="I15" s="365">
        <v>15</v>
      </c>
      <c r="J15" s="366">
        <f>I15*5000/1000000</f>
        <v>7.4999999999999997E-2</v>
      </c>
      <c r="O15" s="321" t="s">
        <v>886</v>
      </c>
      <c r="Y15" s="164"/>
      <c r="Z15" s="164"/>
      <c r="AA15" s="164"/>
      <c r="AB15" s="164"/>
      <c r="AC15" s="164"/>
      <c r="AD15" s="164"/>
    </row>
    <row r="16" spans="1:30" ht="20.100000000000001" customHeight="1">
      <c r="A16" s="355">
        <v>6</v>
      </c>
      <c r="B16" s="362" t="s">
        <v>1321</v>
      </c>
      <c r="C16" s="363"/>
      <c r="D16" s="364"/>
      <c r="E16" s="365"/>
      <c r="F16" s="366"/>
      <c r="G16" s="365">
        <v>22</v>
      </c>
      <c r="H16" s="366">
        <f>G16*6000/1000000</f>
        <v>0.13200000000000001</v>
      </c>
      <c r="I16" s="365">
        <v>90</v>
      </c>
      <c r="J16" s="366">
        <f>I16*6000/1000000</f>
        <v>0.54</v>
      </c>
      <c r="O16" s="321" t="s">
        <v>968</v>
      </c>
      <c r="Y16" s="164"/>
      <c r="Z16" s="164"/>
      <c r="AA16" s="164"/>
      <c r="AB16" s="164"/>
      <c r="AC16" s="164"/>
      <c r="AD16" s="164"/>
    </row>
    <row r="17" spans="1:30" ht="20.100000000000001" customHeight="1">
      <c r="A17" s="355">
        <v>7</v>
      </c>
      <c r="B17" s="362" t="s">
        <v>432</v>
      </c>
      <c r="C17" s="363"/>
      <c r="D17" s="364"/>
      <c r="E17" s="365"/>
      <c r="F17" s="366"/>
      <c r="G17" s="365"/>
      <c r="H17" s="366"/>
      <c r="I17" s="365">
        <v>35</v>
      </c>
      <c r="J17" s="366">
        <f>I17*15000/1000000</f>
        <v>0.52500000000000002</v>
      </c>
      <c r="Y17" s="164"/>
      <c r="Z17" s="164"/>
      <c r="AA17" s="164"/>
      <c r="AB17" s="164"/>
      <c r="AC17" s="164"/>
      <c r="AD17" s="164"/>
    </row>
    <row r="18" spans="1:30" ht="20.100000000000001" customHeight="1">
      <c r="A18" s="355">
        <v>8</v>
      </c>
      <c r="B18" s="362"/>
      <c r="C18" s="363"/>
      <c r="D18" s="364"/>
      <c r="E18" s="365"/>
      <c r="F18" s="366"/>
      <c r="G18" s="365"/>
      <c r="H18" s="366"/>
      <c r="I18" s="365"/>
      <c r="J18" s="366"/>
      <c r="Y18" s="164"/>
      <c r="Z18" s="164"/>
      <c r="AA18" s="164"/>
      <c r="AB18" s="164"/>
      <c r="AC18" s="164"/>
      <c r="AD18" s="164"/>
    </row>
    <row r="19" spans="1:30" ht="20.100000000000001" customHeight="1">
      <c r="A19" s="355">
        <v>9</v>
      </c>
      <c r="B19" s="362"/>
      <c r="C19" s="363"/>
      <c r="D19" s="364"/>
      <c r="E19" s="365"/>
      <c r="F19" s="366"/>
      <c r="G19" s="365"/>
      <c r="H19" s="366"/>
      <c r="I19" s="365"/>
      <c r="J19" s="366"/>
      <c r="Y19" s="164"/>
      <c r="Z19" s="164"/>
      <c r="AA19" s="164"/>
      <c r="AB19" s="164"/>
      <c r="AC19" s="164"/>
      <c r="AD19" s="164"/>
    </row>
    <row r="20" spans="1:30" ht="20.100000000000001" customHeight="1">
      <c r="A20" s="1563" t="s">
        <v>893</v>
      </c>
      <c r="B20" s="1563"/>
      <c r="C20" s="1550"/>
      <c r="D20" s="1551"/>
      <c r="E20" s="367">
        <f t="shared" ref="E20:J20" si="0">SUM(E11:E19)</f>
        <v>0</v>
      </c>
      <c r="F20" s="368">
        <f t="shared" si="0"/>
        <v>0</v>
      </c>
      <c r="G20" s="368">
        <f t="shared" si="0"/>
        <v>77</v>
      </c>
      <c r="H20" s="824">
        <f t="shared" si="0"/>
        <v>2.0350000000000001</v>
      </c>
      <c r="I20" s="368">
        <f t="shared" si="0"/>
        <v>200</v>
      </c>
      <c r="J20" s="368">
        <f t="shared" si="0"/>
        <v>1.9940000000000002</v>
      </c>
      <c r="Y20" s="164"/>
    </row>
    <row r="21" spans="1:30" ht="20.100000000000001" customHeight="1">
      <c r="A21" s="1565" t="s">
        <v>957</v>
      </c>
      <c r="B21" s="1566"/>
      <c r="C21" s="1566"/>
      <c r="D21" s="1566"/>
      <c r="E21" s="1566"/>
      <c r="F21" s="1566"/>
      <c r="G21" s="1566"/>
      <c r="H21" s="1566"/>
      <c r="I21" s="1566"/>
      <c r="J21" s="1567"/>
      <c r="Y21" s="164"/>
    </row>
    <row r="22" spans="1:30" ht="20.100000000000001" customHeight="1">
      <c r="A22" s="355">
        <v>1</v>
      </c>
      <c r="B22" s="362"/>
      <c r="C22" s="363"/>
      <c r="D22" s="364"/>
      <c r="E22" s="365"/>
      <c r="F22" s="366"/>
      <c r="G22" s="365"/>
      <c r="H22" s="366"/>
      <c r="I22" s="365"/>
      <c r="J22" s="366"/>
      <c r="Y22" s="164"/>
    </row>
    <row r="23" spans="1:30" ht="20.100000000000001" customHeight="1">
      <c r="A23" s="361">
        <v>2</v>
      </c>
      <c r="B23" s="362"/>
      <c r="C23" s="363"/>
      <c r="D23" s="369"/>
      <c r="E23" s="370"/>
      <c r="F23" s="366"/>
      <c r="G23" s="370"/>
      <c r="H23" s="366"/>
      <c r="I23" s="370"/>
      <c r="J23" s="366"/>
      <c r="Y23" s="164"/>
    </row>
    <row r="24" spans="1:30" ht="20.100000000000001" customHeight="1">
      <c r="A24" s="361">
        <v>3</v>
      </c>
      <c r="B24" s="362"/>
      <c r="C24" s="363"/>
      <c r="D24" s="369"/>
      <c r="E24" s="370"/>
      <c r="F24" s="366"/>
      <c r="G24" s="370"/>
      <c r="H24" s="366"/>
      <c r="I24" s="370"/>
      <c r="J24" s="366"/>
      <c r="Y24" s="164"/>
    </row>
    <row r="25" spans="1:30" ht="20.100000000000001" customHeight="1">
      <c r="A25" s="1563" t="s">
        <v>893</v>
      </c>
      <c r="B25" s="1563"/>
      <c r="C25" s="1550"/>
      <c r="D25" s="1551"/>
      <c r="E25" s="367">
        <f t="shared" ref="E25:J25" si="1">SUM(E22:E24)</f>
        <v>0</v>
      </c>
      <c r="F25" s="371">
        <f t="shared" si="1"/>
        <v>0</v>
      </c>
      <c r="G25" s="367">
        <f t="shared" si="1"/>
        <v>0</v>
      </c>
      <c r="H25" s="371">
        <f t="shared" si="1"/>
        <v>0</v>
      </c>
      <c r="I25" s="367">
        <f t="shared" si="1"/>
        <v>0</v>
      </c>
      <c r="J25" s="371">
        <f t="shared" si="1"/>
        <v>0</v>
      </c>
    </row>
    <row r="26" spans="1:30" ht="20.25" customHeight="1">
      <c r="A26" s="1565" t="s">
        <v>963</v>
      </c>
      <c r="B26" s="1566"/>
      <c r="C26" s="1566"/>
      <c r="D26" s="1566"/>
      <c r="E26" s="1566"/>
      <c r="F26" s="1566"/>
      <c r="G26" s="1566"/>
      <c r="H26" s="1566"/>
      <c r="I26" s="1566"/>
      <c r="J26" s="1567"/>
    </row>
    <row r="27" spans="1:30" ht="21.95" customHeight="1">
      <c r="A27" s="355">
        <v>1</v>
      </c>
      <c r="B27" s="362" t="s">
        <v>1368</v>
      </c>
      <c r="C27" s="363"/>
      <c r="D27" s="364"/>
      <c r="E27" s="365"/>
      <c r="F27" s="366"/>
      <c r="G27" s="365">
        <v>45</v>
      </c>
      <c r="H27" s="366">
        <f>SUM(G27*0.00055)</f>
        <v>2.4750000000000001E-2</v>
      </c>
      <c r="I27" s="365">
        <v>240</v>
      </c>
      <c r="J27" s="366">
        <f>SUM(I27*0.00055)</f>
        <v>0.13200000000000001</v>
      </c>
      <c r="AA27" s="246" t="s">
        <v>891</v>
      </c>
      <c r="AB27" s="246" t="s">
        <v>885</v>
      </c>
      <c r="AC27" s="246"/>
    </row>
    <row r="28" spans="1:30" ht="21.95" customHeight="1">
      <c r="A28" s="361">
        <v>2</v>
      </c>
      <c r="B28" s="375"/>
      <c r="C28" s="376"/>
      <c r="D28" s="377"/>
      <c r="E28" s="378"/>
      <c r="F28" s="379"/>
      <c r="G28" s="378"/>
      <c r="H28" s="380"/>
      <c r="I28" s="378"/>
      <c r="J28" s="380"/>
      <c r="AA28" s="246"/>
      <c r="AB28" s="246" t="s">
        <v>887</v>
      </c>
      <c r="AC28" s="246"/>
    </row>
    <row r="29" spans="1:30" ht="21.95" customHeight="1">
      <c r="A29" s="361">
        <v>3</v>
      </c>
      <c r="B29" s="375"/>
      <c r="C29" s="376"/>
      <c r="D29" s="377"/>
      <c r="E29" s="378"/>
      <c r="F29" s="379"/>
      <c r="G29" s="378"/>
      <c r="H29" s="380"/>
      <c r="I29" s="378"/>
      <c r="J29" s="380"/>
      <c r="AA29" s="246"/>
      <c r="AB29" s="246" t="s">
        <v>888</v>
      </c>
      <c r="AC29" s="246"/>
    </row>
    <row r="30" spans="1:30" ht="21.95" customHeight="1">
      <c r="A30" s="1563" t="s">
        <v>893</v>
      </c>
      <c r="B30" s="1563"/>
      <c r="C30" s="1550"/>
      <c r="D30" s="1551"/>
      <c r="E30" s="381">
        <f t="shared" ref="E30:J30" si="2">SUM(E27:E29)</f>
        <v>0</v>
      </c>
      <c r="F30" s="382">
        <f t="shared" si="2"/>
        <v>0</v>
      </c>
      <c r="G30" s="381">
        <f t="shared" si="2"/>
        <v>45</v>
      </c>
      <c r="H30" s="382">
        <f t="shared" si="2"/>
        <v>2.4750000000000001E-2</v>
      </c>
      <c r="I30" s="381">
        <f t="shared" si="2"/>
        <v>240</v>
      </c>
      <c r="J30" s="382">
        <f t="shared" si="2"/>
        <v>0.13200000000000001</v>
      </c>
      <c r="K30" s="320"/>
      <c r="L30" s="320"/>
      <c r="M30" s="320"/>
    </row>
    <row r="31" spans="1:30" ht="20.100000000000001" customHeight="1">
      <c r="A31" s="1568" t="s">
        <v>964</v>
      </c>
      <c r="B31" s="1569"/>
      <c r="C31" s="1569"/>
      <c r="D31" s="1569"/>
      <c r="E31" s="1569"/>
      <c r="F31" s="1569"/>
      <c r="G31" s="1569"/>
      <c r="H31" s="1569"/>
      <c r="I31" s="1569"/>
      <c r="J31" s="1569"/>
      <c r="K31" s="320"/>
      <c r="L31" s="320"/>
      <c r="M31" s="320"/>
    </row>
    <row r="32" spans="1:30" ht="20.100000000000001" customHeight="1">
      <c r="A32" s="355">
        <v>1</v>
      </c>
      <c r="B32" s="372"/>
      <c r="C32" s="383"/>
      <c r="D32" s="373"/>
      <c r="E32" s="384"/>
      <c r="F32" s="374"/>
      <c r="G32" s="384"/>
      <c r="H32" s="374"/>
      <c r="I32" s="384"/>
      <c r="J32" s="374"/>
      <c r="K32" s="320"/>
      <c r="L32" s="320"/>
      <c r="M32" s="320"/>
      <c r="AA32" s="246" t="s">
        <v>891</v>
      </c>
      <c r="AB32" s="246" t="s">
        <v>885</v>
      </c>
      <c r="AC32" s="246"/>
    </row>
    <row r="33" spans="1:29" ht="20.100000000000001" customHeight="1">
      <c r="A33" s="1563" t="s">
        <v>893</v>
      </c>
      <c r="B33" s="1563"/>
      <c r="C33" s="1550"/>
      <c r="D33" s="1551"/>
      <c r="E33" s="381">
        <f>SUM(E32:E32)</f>
        <v>0</v>
      </c>
      <c r="F33" s="385">
        <f>SUM(F32:F32)</f>
        <v>0</v>
      </c>
      <c r="G33" s="386"/>
      <c r="H33" s="386"/>
      <c r="I33" s="386"/>
      <c r="J33" s="386"/>
    </row>
    <row r="34" spans="1:29" ht="20.100000000000001" customHeight="1">
      <c r="A34" s="1576" t="s">
        <v>965</v>
      </c>
      <c r="B34" s="1577"/>
      <c r="C34" s="1577"/>
      <c r="D34" s="1577"/>
      <c r="E34" s="1577"/>
      <c r="F34" s="1577"/>
      <c r="G34" s="1577"/>
      <c r="H34" s="1577"/>
      <c r="I34" s="1577"/>
      <c r="J34" s="1577"/>
      <c r="K34" s="320"/>
      <c r="L34" s="320"/>
      <c r="M34" s="320"/>
    </row>
    <row r="35" spans="1:29" ht="20.100000000000001" customHeight="1">
      <c r="A35" s="355">
        <v>1</v>
      </c>
      <c r="B35" s="356"/>
      <c r="C35" s="383"/>
      <c r="D35" s="373"/>
      <c r="E35" s="387"/>
      <c r="F35" s="388"/>
      <c r="G35" s="387"/>
      <c r="H35" s="388"/>
      <c r="I35" s="387"/>
      <c r="J35" s="388"/>
      <c r="K35" s="320"/>
      <c r="L35" s="320"/>
      <c r="M35" s="320"/>
      <c r="AA35" s="246" t="s">
        <v>891</v>
      </c>
      <c r="AB35" s="246" t="s">
        <v>885</v>
      </c>
      <c r="AC35" s="246"/>
    </row>
    <row r="36" spans="1:29" ht="20.100000000000001" customHeight="1">
      <c r="A36" s="361">
        <v>2</v>
      </c>
      <c r="B36" s="362"/>
      <c r="C36" s="363"/>
      <c r="D36" s="377"/>
      <c r="E36" s="387"/>
      <c r="F36" s="389"/>
      <c r="G36" s="387"/>
      <c r="H36" s="389"/>
      <c r="I36" s="387"/>
      <c r="J36" s="389"/>
      <c r="AA36" s="246"/>
      <c r="AB36" s="246" t="s">
        <v>887</v>
      </c>
      <c r="AC36" s="246"/>
    </row>
    <row r="37" spans="1:29" ht="20.100000000000001" customHeight="1">
      <c r="A37" s="1563" t="s">
        <v>893</v>
      </c>
      <c r="B37" s="1563"/>
      <c r="C37" s="1550"/>
      <c r="D37" s="1551"/>
      <c r="E37" s="381">
        <f t="shared" ref="E37:J38" si="3">SUM(E35:E36)</f>
        <v>0</v>
      </c>
      <c r="F37" s="390">
        <f t="shared" si="3"/>
        <v>0</v>
      </c>
      <c r="G37" s="381">
        <f t="shared" si="3"/>
        <v>0</v>
      </c>
      <c r="H37" s="385">
        <f t="shared" si="3"/>
        <v>0</v>
      </c>
      <c r="I37" s="381">
        <f t="shared" si="3"/>
        <v>0</v>
      </c>
      <c r="J37" s="385">
        <f t="shared" si="3"/>
        <v>0</v>
      </c>
    </row>
    <row r="38" spans="1:29" s="327" customFormat="1" ht="21.95" customHeight="1">
      <c r="A38" s="1573" t="s">
        <v>152</v>
      </c>
      <c r="B38" s="1573"/>
      <c r="C38" s="1574"/>
      <c r="D38" s="1575"/>
      <c r="E38" s="391">
        <f t="shared" si="3"/>
        <v>0</v>
      </c>
      <c r="F38" s="392">
        <f t="shared" si="3"/>
        <v>0</v>
      </c>
      <c r="G38" s="391">
        <f t="shared" si="3"/>
        <v>0</v>
      </c>
      <c r="H38" s="393">
        <f t="shared" si="3"/>
        <v>0</v>
      </c>
      <c r="I38" s="391">
        <f t="shared" si="3"/>
        <v>0</v>
      </c>
      <c r="J38" s="393">
        <f t="shared" si="3"/>
        <v>0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</row>
    <row r="39" spans="1:29">
      <c r="A39" s="247"/>
      <c r="B39" s="247" t="s">
        <v>1369</v>
      </c>
      <c r="C39" s="247"/>
      <c r="D39" s="247"/>
      <c r="E39" s="247"/>
      <c r="F39" s="247"/>
      <c r="G39" s="246"/>
    </row>
    <row r="40" spans="1:29">
      <c r="A40" s="247"/>
      <c r="B40" s="247"/>
      <c r="C40" s="247"/>
      <c r="D40" s="247"/>
      <c r="E40" s="247"/>
      <c r="F40" s="247"/>
      <c r="G40" s="246"/>
    </row>
    <row r="41" spans="1:29">
      <c r="D41" s="247"/>
      <c r="E41" s="247"/>
      <c r="F41" s="247"/>
      <c r="G41" s="246"/>
    </row>
    <row r="42" spans="1:29">
      <c r="B42" s="325" t="s">
        <v>972</v>
      </c>
      <c r="D42" s="247"/>
      <c r="E42" s="247"/>
      <c r="F42" s="247"/>
      <c r="G42" s="246"/>
      <c r="H42" s="325" t="s">
        <v>971</v>
      </c>
      <c r="I42" s="325"/>
      <c r="J42" s="325"/>
    </row>
    <row r="43" spans="1:29">
      <c r="D43" s="247"/>
      <c r="E43" s="247"/>
      <c r="F43" s="247"/>
      <c r="G43" s="246"/>
    </row>
    <row r="44" spans="1:29">
      <c r="D44" s="247"/>
      <c r="E44" s="247"/>
      <c r="F44" s="247"/>
      <c r="G44" s="246"/>
    </row>
    <row r="45" spans="1:29">
      <c r="D45" s="247"/>
      <c r="E45" s="247"/>
      <c r="F45" s="247"/>
      <c r="G45" s="246"/>
    </row>
    <row r="46" spans="1:29">
      <c r="D46" s="247"/>
      <c r="E46" s="247"/>
      <c r="F46" s="247"/>
      <c r="G46" s="246"/>
    </row>
    <row r="47" spans="1:29">
      <c r="D47" s="246"/>
      <c r="E47" s="246"/>
      <c r="F47" s="246"/>
      <c r="G47" s="246"/>
    </row>
    <row r="48" spans="1:29">
      <c r="A48" s="246"/>
      <c r="B48" s="246"/>
      <c r="C48" s="246"/>
      <c r="D48" s="246"/>
      <c r="E48" s="246"/>
      <c r="F48" s="246"/>
      <c r="G48" s="246"/>
    </row>
    <row r="73" spans="1:3">
      <c r="A73" s="247"/>
      <c r="B73" s="247" t="s">
        <v>889</v>
      </c>
      <c r="C73" s="247"/>
    </row>
    <row r="74" spans="1:3">
      <c r="A74" s="247"/>
      <c r="B74" s="247" t="s">
        <v>890</v>
      </c>
      <c r="C74" s="247"/>
    </row>
    <row r="75" spans="1:3">
      <c r="A75" s="247"/>
      <c r="B75" s="247" t="s">
        <v>891</v>
      </c>
      <c r="C75" s="247"/>
    </row>
    <row r="76" spans="1:3">
      <c r="A76" s="247"/>
      <c r="B76" s="247"/>
      <c r="C76" s="247"/>
    </row>
    <row r="77" spans="1:3">
      <c r="A77" s="247"/>
      <c r="B77" s="247"/>
      <c r="C77" s="247"/>
    </row>
    <row r="78" spans="1:3">
      <c r="A78" s="247"/>
      <c r="B78" s="247"/>
      <c r="C78" s="247"/>
    </row>
    <row r="79" spans="1:3">
      <c r="A79" s="247"/>
      <c r="B79" s="247"/>
      <c r="C79" s="247"/>
    </row>
    <row r="80" spans="1:3">
      <c r="A80" s="246"/>
      <c r="B80" s="246"/>
      <c r="C80" s="246"/>
    </row>
  </sheetData>
  <mergeCells count="34">
    <mergeCell ref="A38:B38"/>
    <mergeCell ref="C38:D38"/>
    <mergeCell ref="A34:J34"/>
    <mergeCell ref="A37:B37"/>
    <mergeCell ref="C25:D25"/>
    <mergeCell ref="C30:D30"/>
    <mergeCell ref="C33:D33"/>
    <mergeCell ref="C37:D37"/>
    <mergeCell ref="A26:J26"/>
    <mergeCell ref="A30:B30"/>
    <mergeCell ref="A25:B25"/>
    <mergeCell ref="I1:J1"/>
    <mergeCell ref="A33:B33"/>
    <mergeCell ref="A2:J2"/>
    <mergeCell ref="A21:J21"/>
    <mergeCell ref="A10:J10"/>
    <mergeCell ref="A31:J31"/>
    <mergeCell ref="G7:G9"/>
    <mergeCell ref="H7:H9"/>
    <mergeCell ref="I6:J6"/>
    <mergeCell ref="I7:I9"/>
    <mergeCell ref="J7:J9"/>
    <mergeCell ref="G6:H6"/>
    <mergeCell ref="E6:F6"/>
    <mergeCell ref="D6:D7"/>
    <mergeCell ref="D8:D9"/>
    <mergeCell ref="A20:B20"/>
    <mergeCell ref="F7:F9"/>
    <mergeCell ref="C20:D20"/>
    <mergeCell ref="A4:B4"/>
    <mergeCell ref="C8:C9"/>
    <mergeCell ref="C6:C7"/>
    <mergeCell ref="A6:B9"/>
    <mergeCell ref="E7:E9"/>
  </mergeCells>
  <dataValidations count="8">
    <dataValidation type="list" allowBlank="1" showInputMessage="1" showErrorMessage="1" sqref="F32">
      <formula1>#REF!</formula1>
    </dataValidation>
    <dataValidation type="list" allowBlank="1" showInputMessage="1" showErrorMessage="1" sqref="C23:C24">
      <formula1>$L$12:$L$13</formula1>
    </dataValidation>
    <dataValidation type="list" allowBlank="1" showInputMessage="1" showErrorMessage="1" sqref="D32 D23:D24 D35:D36 D28:D29">
      <formula1>$O$12:$O$16</formula1>
    </dataValidation>
    <dataValidation type="list" allowBlank="1" showInputMessage="1" showErrorMessage="1" sqref="C35:C36 C32 C28:C29">
      <formula1>$L$11:$L$14</formula1>
    </dataValidation>
    <dataValidation allowBlank="1" showInputMessage="1" showErrorMessage="1" sqref="E35:E36"/>
    <dataValidation type="list" allowBlank="1" showInputMessage="1" showErrorMessage="1" sqref="C22 C11:C19 C27">
      <formula1>$L$11:$L$11</formula1>
    </dataValidation>
    <dataValidation type="whole" allowBlank="1" showInputMessage="1" showErrorMessage="1" sqref="E22 E11:E19 E27">
      <formula1>1</formula1>
      <formula2>9000</formula2>
    </dataValidation>
    <dataValidation type="list" allowBlank="1" showInputMessage="1" showErrorMessage="1" sqref="D22 D11:D19 D27">
      <formula1>$O$11:$O$11</formula1>
    </dataValidation>
  </dataValidations>
  <printOptions horizontalCentered="1"/>
  <pageMargins left="0.45" right="0.25" top="0.6" bottom="0.25" header="0.2" footer="0.05"/>
  <pageSetup paperSize="9" scale="9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W102"/>
  <sheetViews>
    <sheetView view="pageBreakPreview" zoomScaleSheetLayoutView="100" workbookViewId="0">
      <selection activeCell="A2" sqref="A2:W2"/>
    </sheetView>
  </sheetViews>
  <sheetFormatPr defaultRowHeight="12.75"/>
  <cols>
    <col min="1" max="1" width="4.7109375" style="66" customWidth="1"/>
    <col min="2" max="2" width="16.28515625" style="66" customWidth="1"/>
    <col min="3" max="3" width="15" style="1" bestFit="1" customWidth="1"/>
    <col min="4" max="5" width="6.7109375" style="1" bestFit="1" customWidth="1"/>
    <col min="6" max="6" width="7.7109375" style="1" bestFit="1" customWidth="1"/>
    <col min="7" max="8" width="10.28515625" style="1" bestFit="1" customWidth="1"/>
    <col min="9" max="9" width="8.7109375" style="1" bestFit="1" customWidth="1"/>
    <col min="10" max="10" width="9" style="1" bestFit="1" customWidth="1"/>
    <col min="11" max="11" width="8.85546875" style="1" bestFit="1" customWidth="1"/>
    <col min="12" max="12" width="8" style="1" bestFit="1" customWidth="1"/>
    <col min="13" max="13" width="7.42578125" style="1" customWidth="1"/>
    <col min="14" max="14" width="7.7109375" style="1" bestFit="1" customWidth="1"/>
    <col min="15" max="15" width="8.7109375" style="1" bestFit="1" customWidth="1"/>
    <col min="16" max="16" width="7.42578125" style="1" customWidth="1"/>
    <col min="17" max="17" width="7.140625" style="1" customWidth="1"/>
    <col min="18" max="18" width="7.140625" style="1" bestFit="1" customWidth="1"/>
    <col min="19" max="20" width="5.5703125" style="1" bestFit="1" customWidth="1"/>
    <col min="21" max="21" width="6.7109375" style="1" bestFit="1" customWidth="1"/>
    <col min="22" max="22" width="7" style="1" customWidth="1"/>
    <col min="23" max="23" width="10.28515625" style="32" bestFit="1" customWidth="1"/>
    <col min="24" max="255" width="9.140625" style="1"/>
    <col min="256" max="256" width="4.7109375" style="1" customWidth="1"/>
    <col min="257" max="257" width="16.28515625" style="1" customWidth="1"/>
    <col min="258" max="258" width="9.7109375" style="1" customWidth="1"/>
    <col min="259" max="260" width="5.5703125" style="1" bestFit="1" customWidth="1"/>
    <col min="261" max="261" width="6.5703125" style="1" bestFit="1" customWidth="1"/>
    <col min="262" max="262" width="6.85546875" style="1" bestFit="1" customWidth="1"/>
    <col min="263" max="263" width="7.140625" style="1" bestFit="1" customWidth="1"/>
    <col min="264" max="264" width="7" style="1" bestFit="1" customWidth="1"/>
    <col min="265" max="265" width="9" style="1" bestFit="1" customWidth="1"/>
    <col min="266" max="266" width="8.85546875" style="1" bestFit="1" customWidth="1"/>
    <col min="267" max="267" width="8" style="1" bestFit="1" customWidth="1"/>
    <col min="268" max="269" width="5.85546875" style="1" customWidth="1"/>
    <col min="270" max="271" width="7.28515625" style="1" customWidth="1"/>
    <col min="272" max="272" width="7.42578125" style="1" customWidth="1"/>
    <col min="273" max="273" width="6.28515625" style="1" bestFit="1" customWidth="1"/>
    <col min="274" max="274" width="7.140625" style="1" bestFit="1" customWidth="1"/>
    <col min="275" max="276" width="5.5703125" style="1" bestFit="1" customWidth="1"/>
    <col min="277" max="278" width="6.28515625" style="1" customWidth="1"/>
    <col min="279" max="279" width="7.7109375" style="1" customWidth="1"/>
    <col min="280" max="511" width="9.140625" style="1"/>
    <col min="512" max="512" width="4.7109375" style="1" customWidth="1"/>
    <col min="513" max="513" width="16.28515625" style="1" customWidth="1"/>
    <col min="514" max="514" width="9.7109375" style="1" customWidth="1"/>
    <col min="515" max="516" width="5.5703125" style="1" bestFit="1" customWidth="1"/>
    <col min="517" max="517" width="6.5703125" style="1" bestFit="1" customWidth="1"/>
    <col min="518" max="518" width="6.85546875" style="1" bestFit="1" customWidth="1"/>
    <col min="519" max="519" width="7.140625" style="1" bestFit="1" customWidth="1"/>
    <col min="520" max="520" width="7" style="1" bestFit="1" customWidth="1"/>
    <col min="521" max="521" width="9" style="1" bestFit="1" customWidth="1"/>
    <col min="522" max="522" width="8.85546875" style="1" bestFit="1" customWidth="1"/>
    <col min="523" max="523" width="8" style="1" bestFit="1" customWidth="1"/>
    <col min="524" max="525" width="5.85546875" style="1" customWidth="1"/>
    <col min="526" max="527" width="7.28515625" style="1" customWidth="1"/>
    <col min="528" max="528" width="7.42578125" style="1" customWidth="1"/>
    <col min="529" max="529" width="6.28515625" style="1" bestFit="1" customWidth="1"/>
    <col min="530" max="530" width="7.140625" style="1" bestFit="1" customWidth="1"/>
    <col min="531" max="532" width="5.5703125" style="1" bestFit="1" customWidth="1"/>
    <col min="533" max="534" width="6.28515625" style="1" customWidth="1"/>
    <col min="535" max="535" width="7.7109375" style="1" customWidth="1"/>
    <col min="536" max="767" width="9.140625" style="1"/>
    <col min="768" max="768" width="4.7109375" style="1" customWidth="1"/>
    <col min="769" max="769" width="16.28515625" style="1" customWidth="1"/>
    <col min="770" max="770" width="9.7109375" style="1" customWidth="1"/>
    <col min="771" max="772" width="5.5703125" style="1" bestFit="1" customWidth="1"/>
    <col min="773" max="773" width="6.5703125" style="1" bestFit="1" customWidth="1"/>
    <col min="774" max="774" width="6.85546875" style="1" bestFit="1" customWidth="1"/>
    <col min="775" max="775" width="7.140625" style="1" bestFit="1" customWidth="1"/>
    <col min="776" max="776" width="7" style="1" bestFit="1" customWidth="1"/>
    <col min="777" max="777" width="9" style="1" bestFit="1" customWidth="1"/>
    <col min="778" max="778" width="8.85546875" style="1" bestFit="1" customWidth="1"/>
    <col min="779" max="779" width="8" style="1" bestFit="1" customWidth="1"/>
    <col min="780" max="781" width="5.85546875" style="1" customWidth="1"/>
    <col min="782" max="783" width="7.28515625" style="1" customWidth="1"/>
    <col min="784" max="784" width="7.42578125" style="1" customWidth="1"/>
    <col min="785" max="785" width="6.28515625" style="1" bestFit="1" customWidth="1"/>
    <col min="786" max="786" width="7.140625" style="1" bestFit="1" customWidth="1"/>
    <col min="787" max="788" width="5.5703125" style="1" bestFit="1" customWidth="1"/>
    <col min="789" max="790" width="6.28515625" style="1" customWidth="1"/>
    <col min="791" max="791" width="7.7109375" style="1" customWidth="1"/>
    <col min="792" max="1023" width="9.140625" style="1"/>
    <col min="1024" max="1024" width="4.7109375" style="1" customWidth="1"/>
    <col min="1025" max="1025" width="16.28515625" style="1" customWidth="1"/>
    <col min="1026" max="1026" width="9.7109375" style="1" customWidth="1"/>
    <col min="1027" max="1028" width="5.5703125" style="1" bestFit="1" customWidth="1"/>
    <col min="1029" max="1029" width="6.5703125" style="1" bestFit="1" customWidth="1"/>
    <col min="1030" max="1030" width="6.85546875" style="1" bestFit="1" customWidth="1"/>
    <col min="1031" max="1031" width="7.140625" style="1" bestFit="1" customWidth="1"/>
    <col min="1032" max="1032" width="7" style="1" bestFit="1" customWidth="1"/>
    <col min="1033" max="1033" width="9" style="1" bestFit="1" customWidth="1"/>
    <col min="1034" max="1034" width="8.85546875" style="1" bestFit="1" customWidth="1"/>
    <col min="1035" max="1035" width="8" style="1" bestFit="1" customWidth="1"/>
    <col min="1036" max="1037" width="5.85546875" style="1" customWidth="1"/>
    <col min="1038" max="1039" width="7.28515625" style="1" customWidth="1"/>
    <col min="1040" max="1040" width="7.42578125" style="1" customWidth="1"/>
    <col min="1041" max="1041" width="6.28515625" style="1" bestFit="1" customWidth="1"/>
    <col min="1042" max="1042" width="7.140625" style="1" bestFit="1" customWidth="1"/>
    <col min="1043" max="1044" width="5.5703125" style="1" bestFit="1" customWidth="1"/>
    <col min="1045" max="1046" width="6.28515625" style="1" customWidth="1"/>
    <col min="1047" max="1047" width="7.7109375" style="1" customWidth="1"/>
    <col min="1048" max="1279" width="9.140625" style="1"/>
    <col min="1280" max="1280" width="4.7109375" style="1" customWidth="1"/>
    <col min="1281" max="1281" width="16.28515625" style="1" customWidth="1"/>
    <col min="1282" max="1282" width="9.7109375" style="1" customWidth="1"/>
    <col min="1283" max="1284" width="5.5703125" style="1" bestFit="1" customWidth="1"/>
    <col min="1285" max="1285" width="6.5703125" style="1" bestFit="1" customWidth="1"/>
    <col min="1286" max="1286" width="6.85546875" style="1" bestFit="1" customWidth="1"/>
    <col min="1287" max="1287" width="7.140625" style="1" bestFit="1" customWidth="1"/>
    <col min="1288" max="1288" width="7" style="1" bestFit="1" customWidth="1"/>
    <col min="1289" max="1289" width="9" style="1" bestFit="1" customWidth="1"/>
    <col min="1290" max="1290" width="8.85546875" style="1" bestFit="1" customWidth="1"/>
    <col min="1291" max="1291" width="8" style="1" bestFit="1" customWidth="1"/>
    <col min="1292" max="1293" width="5.85546875" style="1" customWidth="1"/>
    <col min="1294" max="1295" width="7.28515625" style="1" customWidth="1"/>
    <col min="1296" max="1296" width="7.42578125" style="1" customWidth="1"/>
    <col min="1297" max="1297" width="6.28515625" style="1" bestFit="1" customWidth="1"/>
    <col min="1298" max="1298" width="7.140625" style="1" bestFit="1" customWidth="1"/>
    <col min="1299" max="1300" width="5.5703125" style="1" bestFit="1" customWidth="1"/>
    <col min="1301" max="1302" width="6.28515625" style="1" customWidth="1"/>
    <col min="1303" max="1303" width="7.7109375" style="1" customWidth="1"/>
    <col min="1304" max="1535" width="9.140625" style="1"/>
    <col min="1536" max="1536" width="4.7109375" style="1" customWidth="1"/>
    <col min="1537" max="1537" width="16.28515625" style="1" customWidth="1"/>
    <col min="1538" max="1538" width="9.7109375" style="1" customWidth="1"/>
    <col min="1539" max="1540" width="5.5703125" style="1" bestFit="1" customWidth="1"/>
    <col min="1541" max="1541" width="6.5703125" style="1" bestFit="1" customWidth="1"/>
    <col min="1542" max="1542" width="6.85546875" style="1" bestFit="1" customWidth="1"/>
    <col min="1543" max="1543" width="7.140625" style="1" bestFit="1" customWidth="1"/>
    <col min="1544" max="1544" width="7" style="1" bestFit="1" customWidth="1"/>
    <col min="1545" max="1545" width="9" style="1" bestFit="1" customWidth="1"/>
    <col min="1546" max="1546" width="8.85546875" style="1" bestFit="1" customWidth="1"/>
    <col min="1547" max="1547" width="8" style="1" bestFit="1" customWidth="1"/>
    <col min="1548" max="1549" width="5.85546875" style="1" customWidth="1"/>
    <col min="1550" max="1551" width="7.28515625" style="1" customWidth="1"/>
    <col min="1552" max="1552" width="7.42578125" style="1" customWidth="1"/>
    <col min="1553" max="1553" width="6.28515625" style="1" bestFit="1" customWidth="1"/>
    <col min="1554" max="1554" width="7.140625" style="1" bestFit="1" customWidth="1"/>
    <col min="1555" max="1556" width="5.5703125" style="1" bestFit="1" customWidth="1"/>
    <col min="1557" max="1558" width="6.28515625" style="1" customWidth="1"/>
    <col min="1559" max="1559" width="7.7109375" style="1" customWidth="1"/>
    <col min="1560" max="1791" width="9.140625" style="1"/>
    <col min="1792" max="1792" width="4.7109375" style="1" customWidth="1"/>
    <col min="1793" max="1793" width="16.28515625" style="1" customWidth="1"/>
    <col min="1794" max="1794" width="9.7109375" style="1" customWidth="1"/>
    <col min="1795" max="1796" width="5.5703125" style="1" bestFit="1" customWidth="1"/>
    <col min="1797" max="1797" width="6.5703125" style="1" bestFit="1" customWidth="1"/>
    <col min="1798" max="1798" width="6.85546875" style="1" bestFit="1" customWidth="1"/>
    <col min="1799" max="1799" width="7.140625" style="1" bestFit="1" customWidth="1"/>
    <col min="1800" max="1800" width="7" style="1" bestFit="1" customWidth="1"/>
    <col min="1801" max="1801" width="9" style="1" bestFit="1" customWidth="1"/>
    <col min="1802" max="1802" width="8.85546875" style="1" bestFit="1" customWidth="1"/>
    <col min="1803" max="1803" width="8" style="1" bestFit="1" customWidth="1"/>
    <col min="1804" max="1805" width="5.85546875" style="1" customWidth="1"/>
    <col min="1806" max="1807" width="7.28515625" style="1" customWidth="1"/>
    <col min="1808" max="1808" width="7.42578125" style="1" customWidth="1"/>
    <col min="1809" max="1809" width="6.28515625" style="1" bestFit="1" customWidth="1"/>
    <col min="1810" max="1810" width="7.140625" style="1" bestFit="1" customWidth="1"/>
    <col min="1811" max="1812" width="5.5703125" style="1" bestFit="1" customWidth="1"/>
    <col min="1813" max="1814" width="6.28515625" style="1" customWidth="1"/>
    <col min="1815" max="1815" width="7.7109375" style="1" customWidth="1"/>
    <col min="1816" max="2047" width="9.140625" style="1"/>
    <col min="2048" max="2048" width="4.7109375" style="1" customWidth="1"/>
    <col min="2049" max="2049" width="16.28515625" style="1" customWidth="1"/>
    <col min="2050" max="2050" width="9.7109375" style="1" customWidth="1"/>
    <col min="2051" max="2052" width="5.5703125" style="1" bestFit="1" customWidth="1"/>
    <col min="2053" max="2053" width="6.5703125" style="1" bestFit="1" customWidth="1"/>
    <col min="2054" max="2054" width="6.85546875" style="1" bestFit="1" customWidth="1"/>
    <col min="2055" max="2055" width="7.140625" style="1" bestFit="1" customWidth="1"/>
    <col min="2056" max="2056" width="7" style="1" bestFit="1" customWidth="1"/>
    <col min="2057" max="2057" width="9" style="1" bestFit="1" customWidth="1"/>
    <col min="2058" max="2058" width="8.85546875" style="1" bestFit="1" customWidth="1"/>
    <col min="2059" max="2059" width="8" style="1" bestFit="1" customWidth="1"/>
    <col min="2060" max="2061" width="5.85546875" style="1" customWidth="1"/>
    <col min="2062" max="2063" width="7.28515625" style="1" customWidth="1"/>
    <col min="2064" max="2064" width="7.42578125" style="1" customWidth="1"/>
    <col min="2065" max="2065" width="6.28515625" style="1" bestFit="1" customWidth="1"/>
    <col min="2066" max="2066" width="7.140625" style="1" bestFit="1" customWidth="1"/>
    <col min="2067" max="2068" width="5.5703125" style="1" bestFit="1" customWidth="1"/>
    <col min="2069" max="2070" width="6.28515625" style="1" customWidth="1"/>
    <col min="2071" max="2071" width="7.7109375" style="1" customWidth="1"/>
    <col min="2072" max="2303" width="9.140625" style="1"/>
    <col min="2304" max="2304" width="4.7109375" style="1" customWidth="1"/>
    <col min="2305" max="2305" width="16.28515625" style="1" customWidth="1"/>
    <col min="2306" max="2306" width="9.7109375" style="1" customWidth="1"/>
    <col min="2307" max="2308" width="5.5703125" style="1" bestFit="1" customWidth="1"/>
    <col min="2309" max="2309" width="6.5703125" style="1" bestFit="1" customWidth="1"/>
    <col min="2310" max="2310" width="6.85546875" style="1" bestFit="1" customWidth="1"/>
    <col min="2311" max="2311" width="7.140625" style="1" bestFit="1" customWidth="1"/>
    <col min="2312" max="2312" width="7" style="1" bestFit="1" customWidth="1"/>
    <col min="2313" max="2313" width="9" style="1" bestFit="1" customWidth="1"/>
    <col min="2314" max="2314" width="8.85546875" style="1" bestFit="1" customWidth="1"/>
    <col min="2315" max="2315" width="8" style="1" bestFit="1" customWidth="1"/>
    <col min="2316" max="2317" width="5.85546875" style="1" customWidth="1"/>
    <col min="2318" max="2319" width="7.28515625" style="1" customWidth="1"/>
    <col min="2320" max="2320" width="7.42578125" style="1" customWidth="1"/>
    <col min="2321" max="2321" width="6.28515625" style="1" bestFit="1" customWidth="1"/>
    <col min="2322" max="2322" width="7.140625" style="1" bestFit="1" customWidth="1"/>
    <col min="2323" max="2324" width="5.5703125" style="1" bestFit="1" customWidth="1"/>
    <col min="2325" max="2326" width="6.28515625" style="1" customWidth="1"/>
    <col min="2327" max="2327" width="7.7109375" style="1" customWidth="1"/>
    <col min="2328" max="2559" width="9.140625" style="1"/>
    <col min="2560" max="2560" width="4.7109375" style="1" customWidth="1"/>
    <col min="2561" max="2561" width="16.28515625" style="1" customWidth="1"/>
    <col min="2562" max="2562" width="9.7109375" style="1" customWidth="1"/>
    <col min="2563" max="2564" width="5.5703125" style="1" bestFit="1" customWidth="1"/>
    <col min="2565" max="2565" width="6.5703125" style="1" bestFit="1" customWidth="1"/>
    <col min="2566" max="2566" width="6.85546875" style="1" bestFit="1" customWidth="1"/>
    <col min="2567" max="2567" width="7.140625" style="1" bestFit="1" customWidth="1"/>
    <col min="2568" max="2568" width="7" style="1" bestFit="1" customWidth="1"/>
    <col min="2569" max="2569" width="9" style="1" bestFit="1" customWidth="1"/>
    <col min="2570" max="2570" width="8.85546875" style="1" bestFit="1" customWidth="1"/>
    <col min="2571" max="2571" width="8" style="1" bestFit="1" customWidth="1"/>
    <col min="2572" max="2573" width="5.85546875" style="1" customWidth="1"/>
    <col min="2574" max="2575" width="7.28515625" style="1" customWidth="1"/>
    <col min="2576" max="2576" width="7.42578125" style="1" customWidth="1"/>
    <col min="2577" max="2577" width="6.28515625" style="1" bestFit="1" customWidth="1"/>
    <col min="2578" max="2578" width="7.140625" style="1" bestFit="1" customWidth="1"/>
    <col min="2579" max="2580" width="5.5703125" style="1" bestFit="1" customWidth="1"/>
    <col min="2581" max="2582" width="6.28515625" style="1" customWidth="1"/>
    <col min="2583" max="2583" width="7.7109375" style="1" customWidth="1"/>
    <col min="2584" max="2815" width="9.140625" style="1"/>
    <col min="2816" max="2816" width="4.7109375" style="1" customWidth="1"/>
    <col min="2817" max="2817" width="16.28515625" style="1" customWidth="1"/>
    <col min="2818" max="2818" width="9.7109375" style="1" customWidth="1"/>
    <col min="2819" max="2820" width="5.5703125" style="1" bestFit="1" customWidth="1"/>
    <col min="2821" max="2821" width="6.5703125" style="1" bestFit="1" customWidth="1"/>
    <col min="2822" max="2822" width="6.85546875" style="1" bestFit="1" customWidth="1"/>
    <col min="2823" max="2823" width="7.140625" style="1" bestFit="1" customWidth="1"/>
    <col min="2824" max="2824" width="7" style="1" bestFit="1" customWidth="1"/>
    <col min="2825" max="2825" width="9" style="1" bestFit="1" customWidth="1"/>
    <col min="2826" max="2826" width="8.85546875" style="1" bestFit="1" customWidth="1"/>
    <col min="2827" max="2827" width="8" style="1" bestFit="1" customWidth="1"/>
    <col min="2828" max="2829" width="5.85546875" style="1" customWidth="1"/>
    <col min="2830" max="2831" width="7.28515625" style="1" customWidth="1"/>
    <col min="2832" max="2832" width="7.42578125" style="1" customWidth="1"/>
    <col min="2833" max="2833" width="6.28515625" style="1" bestFit="1" customWidth="1"/>
    <col min="2834" max="2834" width="7.140625" style="1" bestFit="1" customWidth="1"/>
    <col min="2835" max="2836" width="5.5703125" style="1" bestFit="1" customWidth="1"/>
    <col min="2837" max="2838" width="6.28515625" style="1" customWidth="1"/>
    <col min="2839" max="2839" width="7.7109375" style="1" customWidth="1"/>
    <col min="2840" max="3071" width="9.140625" style="1"/>
    <col min="3072" max="3072" width="4.7109375" style="1" customWidth="1"/>
    <col min="3073" max="3073" width="16.28515625" style="1" customWidth="1"/>
    <col min="3074" max="3074" width="9.7109375" style="1" customWidth="1"/>
    <col min="3075" max="3076" width="5.5703125" style="1" bestFit="1" customWidth="1"/>
    <col min="3077" max="3077" width="6.5703125" style="1" bestFit="1" customWidth="1"/>
    <col min="3078" max="3078" width="6.85546875" style="1" bestFit="1" customWidth="1"/>
    <col min="3079" max="3079" width="7.140625" style="1" bestFit="1" customWidth="1"/>
    <col min="3080" max="3080" width="7" style="1" bestFit="1" customWidth="1"/>
    <col min="3081" max="3081" width="9" style="1" bestFit="1" customWidth="1"/>
    <col min="3082" max="3082" width="8.85546875" style="1" bestFit="1" customWidth="1"/>
    <col min="3083" max="3083" width="8" style="1" bestFit="1" customWidth="1"/>
    <col min="3084" max="3085" width="5.85546875" style="1" customWidth="1"/>
    <col min="3086" max="3087" width="7.28515625" style="1" customWidth="1"/>
    <col min="3088" max="3088" width="7.42578125" style="1" customWidth="1"/>
    <col min="3089" max="3089" width="6.28515625" style="1" bestFit="1" customWidth="1"/>
    <col min="3090" max="3090" width="7.140625" style="1" bestFit="1" customWidth="1"/>
    <col min="3091" max="3092" width="5.5703125" style="1" bestFit="1" customWidth="1"/>
    <col min="3093" max="3094" width="6.28515625" style="1" customWidth="1"/>
    <col min="3095" max="3095" width="7.7109375" style="1" customWidth="1"/>
    <col min="3096" max="3327" width="9.140625" style="1"/>
    <col min="3328" max="3328" width="4.7109375" style="1" customWidth="1"/>
    <col min="3329" max="3329" width="16.28515625" style="1" customWidth="1"/>
    <col min="3330" max="3330" width="9.7109375" style="1" customWidth="1"/>
    <col min="3331" max="3332" width="5.5703125" style="1" bestFit="1" customWidth="1"/>
    <col min="3333" max="3333" width="6.5703125" style="1" bestFit="1" customWidth="1"/>
    <col min="3334" max="3334" width="6.85546875" style="1" bestFit="1" customWidth="1"/>
    <col min="3335" max="3335" width="7.140625" style="1" bestFit="1" customWidth="1"/>
    <col min="3336" max="3336" width="7" style="1" bestFit="1" customWidth="1"/>
    <col min="3337" max="3337" width="9" style="1" bestFit="1" customWidth="1"/>
    <col min="3338" max="3338" width="8.85546875" style="1" bestFit="1" customWidth="1"/>
    <col min="3339" max="3339" width="8" style="1" bestFit="1" customWidth="1"/>
    <col min="3340" max="3341" width="5.85546875" style="1" customWidth="1"/>
    <col min="3342" max="3343" width="7.28515625" style="1" customWidth="1"/>
    <col min="3344" max="3344" width="7.42578125" style="1" customWidth="1"/>
    <col min="3345" max="3345" width="6.28515625" style="1" bestFit="1" customWidth="1"/>
    <col min="3346" max="3346" width="7.140625" style="1" bestFit="1" customWidth="1"/>
    <col min="3347" max="3348" width="5.5703125" style="1" bestFit="1" customWidth="1"/>
    <col min="3349" max="3350" width="6.28515625" style="1" customWidth="1"/>
    <col min="3351" max="3351" width="7.7109375" style="1" customWidth="1"/>
    <col min="3352" max="3583" width="9.140625" style="1"/>
    <col min="3584" max="3584" width="4.7109375" style="1" customWidth="1"/>
    <col min="3585" max="3585" width="16.28515625" style="1" customWidth="1"/>
    <col min="3586" max="3586" width="9.7109375" style="1" customWidth="1"/>
    <col min="3587" max="3588" width="5.5703125" style="1" bestFit="1" customWidth="1"/>
    <col min="3589" max="3589" width="6.5703125" style="1" bestFit="1" customWidth="1"/>
    <col min="3590" max="3590" width="6.85546875" style="1" bestFit="1" customWidth="1"/>
    <col min="3591" max="3591" width="7.140625" style="1" bestFit="1" customWidth="1"/>
    <col min="3592" max="3592" width="7" style="1" bestFit="1" customWidth="1"/>
    <col min="3593" max="3593" width="9" style="1" bestFit="1" customWidth="1"/>
    <col min="3594" max="3594" width="8.85546875" style="1" bestFit="1" customWidth="1"/>
    <col min="3595" max="3595" width="8" style="1" bestFit="1" customWidth="1"/>
    <col min="3596" max="3597" width="5.85546875" style="1" customWidth="1"/>
    <col min="3598" max="3599" width="7.28515625" style="1" customWidth="1"/>
    <col min="3600" max="3600" width="7.42578125" style="1" customWidth="1"/>
    <col min="3601" max="3601" width="6.28515625" style="1" bestFit="1" customWidth="1"/>
    <col min="3602" max="3602" width="7.140625" style="1" bestFit="1" customWidth="1"/>
    <col min="3603" max="3604" width="5.5703125" style="1" bestFit="1" customWidth="1"/>
    <col min="3605" max="3606" width="6.28515625" style="1" customWidth="1"/>
    <col min="3607" max="3607" width="7.7109375" style="1" customWidth="1"/>
    <col min="3608" max="3839" width="9.140625" style="1"/>
    <col min="3840" max="3840" width="4.7109375" style="1" customWidth="1"/>
    <col min="3841" max="3841" width="16.28515625" style="1" customWidth="1"/>
    <col min="3842" max="3842" width="9.7109375" style="1" customWidth="1"/>
    <col min="3843" max="3844" width="5.5703125" style="1" bestFit="1" customWidth="1"/>
    <col min="3845" max="3845" width="6.5703125" style="1" bestFit="1" customWidth="1"/>
    <col min="3846" max="3846" width="6.85546875" style="1" bestFit="1" customWidth="1"/>
    <col min="3847" max="3847" width="7.140625" style="1" bestFit="1" customWidth="1"/>
    <col min="3848" max="3848" width="7" style="1" bestFit="1" customWidth="1"/>
    <col min="3849" max="3849" width="9" style="1" bestFit="1" customWidth="1"/>
    <col min="3850" max="3850" width="8.85546875" style="1" bestFit="1" customWidth="1"/>
    <col min="3851" max="3851" width="8" style="1" bestFit="1" customWidth="1"/>
    <col min="3852" max="3853" width="5.85546875" style="1" customWidth="1"/>
    <col min="3854" max="3855" width="7.28515625" style="1" customWidth="1"/>
    <col min="3856" max="3856" width="7.42578125" style="1" customWidth="1"/>
    <col min="3857" max="3857" width="6.28515625" style="1" bestFit="1" customWidth="1"/>
    <col min="3858" max="3858" width="7.140625" style="1" bestFit="1" customWidth="1"/>
    <col min="3859" max="3860" width="5.5703125" style="1" bestFit="1" customWidth="1"/>
    <col min="3861" max="3862" width="6.28515625" style="1" customWidth="1"/>
    <col min="3863" max="3863" width="7.7109375" style="1" customWidth="1"/>
    <col min="3864" max="4095" width="9.140625" style="1"/>
    <col min="4096" max="4096" width="4.7109375" style="1" customWidth="1"/>
    <col min="4097" max="4097" width="16.28515625" style="1" customWidth="1"/>
    <col min="4098" max="4098" width="9.7109375" style="1" customWidth="1"/>
    <col min="4099" max="4100" width="5.5703125" style="1" bestFit="1" customWidth="1"/>
    <col min="4101" max="4101" width="6.5703125" style="1" bestFit="1" customWidth="1"/>
    <col min="4102" max="4102" width="6.85546875" style="1" bestFit="1" customWidth="1"/>
    <col min="4103" max="4103" width="7.140625" style="1" bestFit="1" customWidth="1"/>
    <col min="4104" max="4104" width="7" style="1" bestFit="1" customWidth="1"/>
    <col min="4105" max="4105" width="9" style="1" bestFit="1" customWidth="1"/>
    <col min="4106" max="4106" width="8.85546875" style="1" bestFit="1" customWidth="1"/>
    <col min="4107" max="4107" width="8" style="1" bestFit="1" customWidth="1"/>
    <col min="4108" max="4109" width="5.85546875" style="1" customWidth="1"/>
    <col min="4110" max="4111" width="7.28515625" style="1" customWidth="1"/>
    <col min="4112" max="4112" width="7.42578125" style="1" customWidth="1"/>
    <col min="4113" max="4113" width="6.28515625" style="1" bestFit="1" customWidth="1"/>
    <col min="4114" max="4114" width="7.140625" style="1" bestFit="1" customWidth="1"/>
    <col min="4115" max="4116" width="5.5703125" style="1" bestFit="1" customWidth="1"/>
    <col min="4117" max="4118" width="6.28515625" style="1" customWidth="1"/>
    <col min="4119" max="4119" width="7.7109375" style="1" customWidth="1"/>
    <col min="4120" max="4351" width="9.140625" style="1"/>
    <col min="4352" max="4352" width="4.7109375" style="1" customWidth="1"/>
    <col min="4353" max="4353" width="16.28515625" style="1" customWidth="1"/>
    <col min="4354" max="4354" width="9.7109375" style="1" customWidth="1"/>
    <col min="4355" max="4356" width="5.5703125" style="1" bestFit="1" customWidth="1"/>
    <col min="4357" max="4357" width="6.5703125" style="1" bestFit="1" customWidth="1"/>
    <col min="4358" max="4358" width="6.85546875" style="1" bestFit="1" customWidth="1"/>
    <col min="4359" max="4359" width="7.140625" style="1" bestFit="1" customWidth="1"/>
    <col min="4360" max="4360" width="7" style="1" bestFit="1" customWidth="1"/>
    <col min="4361" max="4361" width="9" style="1" bestFit="1" customWidth="1"/>
    <col min="4362" max="4362" width="8.85546875" style="1" bestFit="1" customWidth="1"/>
    <col min="4363" max="4363" width="8" style="1" bestFit="1" customWidth="1"/>
    <col min="4364" max="4365" width="5.85546875" style="1" customWidth="1"/>
    <col min="4366" max="4367" width="7.28515625" style="1" customWidth="1"/>
    <col min="4368" max="4368" width="7.42578125" style="1" customWidth="1"/>
    <col min="4369" max="4369" width="6.28515625" style="1" bestFit="1" customWidth="1"/>
    <col min="4370" max="4370" width="7.140625" style="1" bestFit="1" customWidth="1"/>
    <col min="4371" max="4372" width="5.5703125" style="1" bestFit="1" customWidth="1"/>
    <col min="4373" max="4374" width="6.28515625" style="1" customWidth="1"/>
    <col min="4375" max="4375" width="7.7109375" style="1" customWidth="1"/>
    <col min="4376" max="4607" width="9.140625" style="1"/>
    <col min="4608" max="4608" width="4.7109375" style="1" customWidth="1"/>
    <col min="4609" max="4609" width="16.28515625" style="1" customWidth="1"/>
    <col min="4610" max="4610" width="9.7109375" style="1" customWidth="1"/>
    <col min="4611" max="4612" width="5.5703125" style="1" bestFit="1" customWidth="1"/>
    <col min="4613" max="4613" width="6.5703125" style="1" bestFit="1" customWidth="1"/>
    <col min="4614" max="4614" width="6.85546875" style="1" bestFit="1" customWidth="1"/>
    <col min="4615" max="4615" width="7.140625" style="1" bestFit="1" customWidth="1"/>
    <col min="4616" max="4616" width="7" style="1" bestFit="1" customWidth="1"/>
    <col min="4617" max="4617" width="9" style="1" bestFit="1" customWidth="1"/>
    <col min="4618" max="4618" width="8.85546875" style="1" bestFit="1" customWidth="1"/>
    <col min="4619" max="4619" width="8" style="1" bestFit="1" customWidth="1"/>
    <col min="4620" max="4621" width="5.85546875" style="1" customWidth="1"/>
    <col min="4622" max="4623" width="7.28515625" style="1" customWidth="1"/>
    <col min="4624" max="4624" width="7.42578125" style="1" customWidth="1"/>
    <col min="4625" max="4625" width="6.28515625" style="1" bestFit="1" customWidth="1"/>
    <col min="4626" max="4626" width="7.140625" style="1" bestFit="1" customWidth="1"/>
    <col min="4627" max="4628" width="5.5703125" style="1" bestFit="1" customWidth="1"/>
    <col min="4629" max="4630" width="6.28515625" style="1" customWidth="1"/>
    <col min="4631" max="4631" width="7.7109375" style="1" customWidth="1"/>
    <col min="4632" max="4863" width="9.140625" style="1"/>
    <col min="4864" max="4864" width="4.7109375" style="1" customWidth="1"/>
    <col min="4865" max="4865" width="16.28515625" style="1" customWidth="1"/>
    <col min="4866" max="4866" width="9.7109375" style="1" customWidth="1"/>
    <col min="4867" max="4868" width="5.5703125" style="1" bestFit="1" customWidth="1"/>
    <col min="4869" max="4869" width="6.5703125" style="1" bestFit="1" customWidth="1"/>
    <col min="4870" max="4870" width="6.85546875" style="1" bestFit="1" customWidth="1"/>
    <col min="4871" max="4871" width="7.140625" style="1" bestFit="1" customWidth="1"/>
    <col min="4872" max="4872" width="7" style="1" bestFit="1" customWidth="1"/>
    <col min="4873" max="4873" width="9" style="1" bestFit="1" customWidth="1"/>
    <col min="4874" max="4874" width="8.85546875" style="1" bestFit="1" customWidth="1"/>
    <col min="4875" max="4875" width="8" style="1" bestFit="1" customWidth="1"/>
    <col min="4876" max="4877" width="5.85546875" style="1" customWidth="1"/>
    <col min="4878" max="4879" width="7.28515625" style="1" customWidth="1"/>
    <col min="4880" max="4880" width="7.42578125" style="1" customWidth="1"/>
    <col min="4881" max="4881" width="6.28515625" style="1" bestFit="1" customWidth="1"/>
    <col min="4882" max="4882" width="7.140625" style="1" bestFit="1" customWidth="1"/>
    <col min="4883" max="4884" width="5.5703125" style="1" bestFit="1" customWidth="1"/>
    <col min="4885" max="4886" width="6.28515625" style="1" customWidth="1"/>
    <col min="4887" max="4887" width="7.7109375" style="1" customWidth="1"/>
    <col min="4888" max="5119" width="9.140625" style="1"/>
    <col min="5120" max="5120" width="4.7109375" style="1" customWidth="1"/>
    <col min="5121" max="5121" width="16.28515625" style="1" customWidth="1"/>
    <col min="5122" max="5122" width="9.7109375" style="1" customWidth="1"/>
    <col min="5123" max="5124" width="5.5703125" style="1" bestFit="1" customWidth="1"/>
    <col min="5125" max="5125" width="6.5703125" style="1" bestFit="1" customWidth="1"/>
    <col min="5126" max="5126" width="6.85546875" style="1" bestFit="1" customWidth="1"/>
    <col min="5127" max="5127" width="7.140625" style="1" bestFit="1" customWidth="1"/>
    <col min="5128" max="5128" width="7" style="1" bestFit="1" customWidth="1"/>
    <col min="5129" max="5129" width="9" style="1" bestFit="1" customWidth="1"/>
    <col min="5130" max="5130" width="8.85546875" style="1" bestFit="1" customWidth="1"/>
    <col min="5131" max="5131" width="8" style="1" bestFit="1" customWidth="1"/>
    <col min="5132" max="5133" width="5.85546875" style="1" customWidth="1"/>
    <col min="5134" max="5135" width="7.28515625" style="1" customWidth="1"/>
    <col min="5136" max="5136" width="7.42578125" style="1" customWidth="1"/>
    <col min="5137" max="5137" width="6.28515625" style="1" bestFit="1" customWidth="1"/>
    <col min="5138" max="5138" width="7.140625" style="1" bestFit="1" customWidth="1"/>
    <col min="5139" max="5140" width="5.5703125" style="1" bestFit="1" customWidth="1"/>
    <col min="5141" max="5142" width="6.28515625" style="1" customWidth="1"/>
    <col min="5143" max="5143" width="7.7109375" style="1" customWidth="1"/>
    <col min="5144" max="5375" width="9.140625" style="1"/>
    <col min="5376" max="5376" width="4.7109375" style="1" customWidth="1"/>
    <col min="5377" max="5377" width="16.28515625" style="1" customWidth="1"/>
    <col min="5378" max="5378" width="9.7109375" style="1" customWidth="1"/>
    <col min="5379" max="5380" width="5.5703125" style="1" bestFit="1" customWidth="1"/>
    <col min="5381" max="5381" width="6.5703125" style="1" bestFit="1" customWidth="1"/>
    <col min="5382" max="5382" width="6.85546875" style="1" bestFit="1" customWidth="1"/>
    <col min="5383" max="5383" width="7.140625" style="1" bestFit="1" customWidth="1"/>
    <col min="5384" max="5384" width="7" style="1" bestFit="1" customWidth="1"/>
    <col min="5385" max="5385" width="9" style="1" bestFit="1" customWidth="1"/>
    <col min="5386" max="5386" width="8.85546875" style="1" bestFit="1" customWidth="1"/>
    <col min="5387" max="5387" width="8" style="1" bestFit="1" customWidth="1"/>
    <col min="5388" max="5389" width="5.85546875" style="1" customWidth="1"/>
    <col min="5390" max="5391" width="7.28515625" style="1" customWidth="1"/>
    <col min="5392" max="5392" width="7.42578125" style="1" customWidth="1"/>
    <col min="5393" max="5393" width="6.28515625" style="1" bestFit="1" customWidth="1"/>
    <col min="5394" max="5394" width="7.140625" style="1" bestFit="1" customWidth="1"/>
    <col min="5395" max="5396" width="5.5703125" style="1" bestFit="1" customWidth="1"/>
    <col min="5397" max="5398" width="6.28515625" style="1" customWidth="1"/>
    <col min="5399" max="5399" width="7.7109375" style="1" customWidth="1"/>
    <col min="5400" max="5631" width="9.140625" style="1"/>
    <col min="5632" max="5632" width="4.7109375" style="1" customWidth="1"/>
    <col min="5633" max="5633" width="16.28515625" style="1" customWidth="1"/>
    <col min="5634" max="5634" width="9.7109375" style="1" customWidth="1"/>
    <col min="5635" max="5636" width="5.5703125" style="1" bestFit="1" customWidth="1"/>
    <col min="5637" max="5637" width="6.5703125" style="1" bestFit="1" customWidth="1"/>
    <col min="5638" max="5638" width="6.85546875" style="1" bestFit="1" customWidth="1"/>
    <col min="5639" max="5639" width="7.140625" style="1" bestFit="1" customWidth="1"/>
    <col min="5640" max="5640" width="7" style="1" bestFit="1" customWidth="1"/>
    <col min="5641" max="5641" width="9" style="1" bestFit="1" customWidth="1"/>
    <col min="5642" max="5642" width="8.85546875" style="1" bestFit="1" customWidth="1"/>
    <col min="5643" max="5643" width="8" style="1" bestFit="1" customWidth="1"/>
    <col min="5644" max="5645" width="5.85546875" style="1" customWidth="1"/>
    <col min="5646" max="5647" width="7.28515625" style="1" customWidth="1"/>
    <col min="5648" max="5648" width="7.42578125" style="1" customWidth="1"/>
    <col min="5649" max="5649" width="6.28515625" style="1" bestFit="1" customWidth="1"/>
    <col min="5650" max="5650" width="7.140625" style="1" bestFit="1" customWidth="1"/>
    <col min="5651" max="5652" width="5.5703125" style="1" bestFit="1" customWidth="1"/>
    <col min="5653" max="5654" width="6.28515625" style="1" customWidth="1"/>
    <col min="5655" max="5655" width="7.7109375" style="1" customWidth="1"/>
    <col min="5656" max="5887" width="9.140625" style="1"/>
    <col min="5888" max="5888" width="4.7109375" style="1" customWidth="1"/>
    <col min="5889" max="5889" width="16.28515625" style="1" customWidth="1"/>
    <col min="5890" max="5890" width="9.7109375" style="1" customWidth="1"/>
    <col min="5891" max="5892" width="5.5703125" style="1" bestFit="1" customWidth="1"/>
    <col min="5893" max="5893" width="6.5703125" style="1" bestFit="1" customWidth="1"/>
    <col min="5894" max="5894" width="6.85546875" style="1" bestFit="1" customWidth="1"/>
    <col min="5895" max="5895" width="7.140625" style="1" bestFit="1" customWidth="1"/>
    <col min="5896" max="5896" width="7" style="1" bestFit="1" customWidth="1"/>
    <col min="5897" max="5897" width="9" style="1" bestFit="1" customWidth="1"/>
    <col min="5898" max="5898" width="8.85546875" style="1" bestFit="1" customWidth="1"/>
    <col min="5899" max="5899" width="8" style="1" bestFit="1" customWidth="1"/>
    <col min="5900" max="5901" width="5.85546875" style="1" customWidth="1"/>
    <col min="5902" max="5903" width="7.28515625" style="1" customWidth="1"/>
    <col min="5904" max="5904" width="7.42578125" style="1" customWidth="1"/>
    <col min="5905" max="5905" width="6.28515625" style="1" bestFit="1" customWidth="1"/>
    <col min="5906" max="5906" width="7.140625" style="1" bestFit="1" customWidth="1"/>
    <col min="5907" max="5908" width="5.5703125" style="1" bestFit="1" customWidth="1"/>
    <col min="5909" max="5910" width="6.28515625" style="1" customWidth="1"/>
    <col min="5911" max="5911" width="7.7109375" style="1" customWidth="1"/>
    <col min="5912" max="6143" width="9.140625" style="1"/>
    <col min="6144" max="6144" width="4.7109375" style="1" customWidth="1"/>
    <col min="6145" max="6145" width="16.28515625" style="1" customWidth="1"/>
    <col min="6146" max="6146" width="9.7109375" style="1" customWidth="1"/>
    <col min="6147" max="6148" width="5.5703125" style="1" bestFit="1" customWidth="1"/>
    <col min="6149" max="6149" width="6.5703125" style="1" bestFit="1" customWidth="1"/>
    <col min="6150" max="6150" width="6.85546875" style="1" bestFit="1" customWidth="1"/>
    <col min="6151" max="6151" width="7.140625" style="1" bestFit="1" customWidth="1"/>
    <col min="6152" max="6152" width="7" style="1" bestFit="1" customWidth="1"/>
    <col min="6153" max="6153" width="9" style="1" bestFit="1" customWidth="1"/>
    <col min="6154" max="6154" width="8.85546875" style="1" bestFit="1" customWidth="1"/>
    <col min="6155" max="6155" width="8" style="1" bestFit="1" customWidth="1"/>
    <col min="6156" max="6157" width="5.85546875" style="1" customWidth="1"/>
    <col min="6158" max="6159" width="7.28515625" style="1" customWidth="1"/>
    <col min="6160" max="6160" width="7.42578125" style="1" customWidth="1"/>
    <col min="6161" max="6161" width="6.28515625" style="1" bestFit="1" customWidth="1"/>
    <col min="6162" max="6162" width="7.140625" style="1" bestFit="1" customWidth="1"/>
    <col min="6163" max="6164" width="5.5703125" style="1" bestFit="1" customWidth="1"/>
    <col min="6165" max="6166" width="6.28515625" style="1" customWidth="1"/>
    <col min="6167" max="6167" width="7.7109375" style="1" customWidth="1"/>
    <col min="6168" max="6399" width="9.140625" style="1"/>
    <col min="6400" max="6400" width="4.7109375" style="1" customWidth="1"/>
    <col min="6401" max="6401" width="16.28515625" style="1" customWidth="1"/>
    <col min="6402" max="6402" width="9.7109375" style="1" customWidth="1"/>
    <col min="6403" max="6404" width="5.5703125" style="1" bestFit="1" customWidth="1"/>
    <col min="6405" max="6405" width="6.5703125" style="1" bestFit="1" customWidth="1"/>
    <col min="6406" max="6406" width="6.85546875" style="1" bestFit="1" customWidth="1"/>
    <col min="6407" max="6407" width="7.140625" style="1" bestFit="1" customWidth="1"/>
    <col min="6408" max="6408" width="7" style="1" bestFit="1" customWidth="1"/>
    <col min="6409" max="6409" width="9" style="1" bestFit="1" customWidth="1"/>
    <col min="6410" max="6410" width="8.85546875" style="1" bestFit="1" customWidth="1"/>
    <col min="6411" max="6411" width="8" style="1" bestFit="1" customWidth="1"/>
    <col min="6412" max="6413" width="5.85546875" style="1" customWidth="1"/>
    <col min="6414" max="6415" width="7.28515625" style="1" customWidth="1"/>
    <col min="6416" max="6416" width="7.42578125" style="1" customWidth="1"/>
    <col min="6417" max="6417" width="6.28515625" style="1" bestFit="1" customWidth="1"/>
    <col min="6418" max="6418" width="7.140625" style="1" bestFit="1" customWidth="1"/>
    <col min="6419" max="6420" width="5.5703125" style="1" bestFit="1" customWidth="1"/>
    <col min="6421" max="6422" width="6.28515625" style="1" customWidth="1"/>
    <col min="6423" max="6423" width="7.7109375" style="1" customWidth="1"/>
    <col min="6424" max="6655" width="9.140625" style="1"/>
    <col min="6656" max="6656" width="4.7109375" style="1" customWidth="1"/>
    <col min="6657" max="6657" width="16.28515625" style="1" customWidth="1"/>
    <col min="6658" max="6658" width="9.7109375" style="1" customWidth="1"/>
    <col min="6659" max="6660" width="5.5703125" style="1" bestFit="1" customWidth="1"/>
    <col min="6661" max="6661" width="6.5703125" style="1" bestFit="1" customWidth="1"/>
    <col min="6662" max="6662" width="6.85546875" style="1" bestFit="1" customWidth="1"/>
    <col min="6663" max="6663" width="7.140625" style="1" bestFit="1" customWidth="1"/>
    <col min="6664" max="6664" width="7" style="1" bestFit="1" customWidth="1"/>
    <col min="6665" max="6665" width="9" style="1" bestFit="1" customWidth="1"/>
    <col min="6666" max="6666" width="8.85546875" style="1" bestFit="1" customWidth="1"/>
    <col min="6667" max="6667" width="8" style="1" bestFit="1" customWidth="1"/>
    <col min="6668" max="6669" width="5.85546875" style="1" customWidth="1"/>
    <col min="6670" max="6671" width="7.28515625" style="1" customWidth="1"/>
    <col min="6672" max="6672" width="7.42578125" style="1" customWidth="1"/>
    <col min="6673" max="6673" width="6.28515625" style="1" bestFit="1" customWidth="1"/>
    <col min="6674" max="6674" width="7.140625" style="1" bestFit="1" customWidth="1"/>
    <col min="6675" max="6676" width="5.5703125" style="1" bestFit="1" customWidth="1"/>
    <col min="6677" max="6678" width="6.28515625" style="1" customWidth="1"/>
    <col min="6679" max="6679" width="7.7109375" style="1" customWidth="1"/>
    <col min="6680" max="6911" width="9.140625" style="1"/>
    <col min="6912" max="6912" width="4.7109375" style="1" customWidth="1"/>
    <col min="6913" max="6913" width="16.28515625" style="1" customWidth="1"/>
    <col min="6914" max="6914" width="9.7109375" style="1" customWidth="1"/>
    <col min="6915" max="6916" width="5.5703125" style="1" bestFit="1" customWidth="1"/>
    <col min="6917" max="6917" width="6.5703125" style="1" bestFit="1" customWidth="1"/>
    <col min="6918" max="6918" width="6.85546875" style="1" bestFit="1" customWidth="1"/>
    <col min="6919" max="6919" width="7.140625" style="1" bestFit="1" customWidth="1"/>
    <col min="6920" max="6920" width="7" style="1" bestFit="1" customWidth="1"/>
    <col min="6921" max="6921" width="9" style="1" bestFit="1" customWidth="1"/>
    <col min="6922" max="6922" width="8.85546875" style="1" bestFit="1" customWidth="1"/>
    <col min="6923" max="6923" width="8" style="1" bestFit="1" customWidth="1"/>
    <col min="6924" max="6925" width="5.85546875" style="1" customWidth="1"/>
    <col min="6926" max="6927" width="7.28515625" style="1" customWidth="1"/>
    <col min="6928" max="6928" width="7.42578125" style="1" customWidth="1"/>
    <col min="6929" max="6929" width="6.28515625" style="1" bestFit="1" customWidth="1"/>
    <col min="6930" max="6930" width="7.140625" style="1" bestFit="1" customWidth="1"/>
    <col min="6931" max="6932" width="5.5703125" style="1" bestFit="1" customWidth="1"/>
    <col min="6933" max="6934" width="6.28515625" style="1" customWidth="1"/>
    <col min="6935" max="6935" width="7.7109375" style="1" customWidth="1"/>
    <col min="6936" max="7167" width="9.140625" style="1"/>
    <col min="7168" max="7168" width="4.7109375" style="1" customWidth="1"/>
    <col min="7169" max="7169" width="16.28515625" style="1" customWidth="1"/>
    <col min="7170" max="7170" width="9.7109375" style="1" customWidth="1"/>
    <col min="7171" max="7172" width="5.5703125" style="1" bestFit="1" customWidth="1"/>
    <col min="7173" max="7173" width="6.5703125" style="1" bestFit="1" customWidth="1"/>
    <col min="7174" max="7174" width="6.85546875" style="1" bestFit="1" customWidth="1"/>
    <col min="7175" max="7175" width="7.140625" style="1" bestFit="1" customWidth="1"/>
    <col min="7176" max="7176" width="7" style="1" bestFit="1" customWidth="1"/>
    <col min="7177" max="7177" width="9" style="1" bestFit="1" customWidth="1"/>
    <col min="7178" max="7178" width="8.85546875" style="1" bestFit="1" customWidth="1"/>
    <col min="7179" max="7179" width="8" style="1" bestFit="1" customWidth="1"/>
    <col min="7180" max="7181" width="5.85546875" style="1" customWidth="1"/>
    <col min="7182" max="7183" width="7.28515625" style="1" customWidth="1"/>
    <col min="7184" max="7184" width="7.42578125" style="1" customWidth="1"/>
    <col min="7185" max="7185" width="6.28515625" style="1" bestFit="1" customWidth="1"/>
    <col min="7186" max="7186" width="7.140625" style="1" bestFit="1" customWidth="1"/>
    <col min="7187" max="7188" width="5.5703125" style="1" bestFit="1" customWidth="1"/>
    <col min="7189" max="7190" width="6.28515625" style="1" customWidth="1"/>
    <col min="7191" max="7191" width="7.7109375" style="1" customWidth="1"/>
    <col min="7192" max="7423" width="9.140625" style="1"/>
    <col min="7424" max="7424" width="4.7109375" style="1" customWidth="1"/>
    <col min="7425" max="7425" width="16.28515625" style="1" customWidth="1"/>
    <col min="7426" max="7426" width="9.7109375" style="1" customWidth="1"/>
    <col min="7427" max="7428" width="5.5703125" style="1" bestFit="1" customWidth="1"/>
    <col min="7429" max="7429" width="6.5703125" style="1" bestFit="1" customWidth="1"/>
    <col min="7430" max="7430" width="6.85546875" style="1" bestFit="1" customWidth="1"/>
    <col min="7431" max="7431" width="7.140625" style="1" bestFit="1" customWidth="1"/>
    <col min="7432" max="7432" width="7" style="1" bestFit="1" customWidth="1"/>
    <col min="7433" max="7433" width="9" style="1" bestFit="1" customWidth="1"/>
    <col min="7434" max="7434" width="8.85546875" style="1" bestFit="1" customWidth="1"/>
    <col min="7435" max="7435" width="8" style="1" bestFit="1" customWidth="1"/>
    <col min="7436" max="7437" width="5.85546875" style="1" customWidth="1"/>
    <col min="7438" max="7439" width="7.28515625" style="1" customWidth="1"/>
    <col min="7440" max="7440" width="7.42578125" style="1" customWidth="1"/>
    <col min="7441" max="7441" width="6.28515625" style="1" bestFit="1" customWidth="1"/>
    <col min="7442" max="7442" width="7.140625" style="1" bestFit="1" customWidth="1"/>
    <col min="7443" max="7444" width="5.5703125" style="1" bestFit="1" customWidth="1"/>
    <col min="7445" max="7446" width="6.28515625" style="1" customWidth="1"/>
    <col min="7447" max="7447" width="7.7109375" style="1" customWidth="1"/>
    <col min="7448" max="7679" width="9.140625" style="1"/>
    <col min="7680" max="7680" width="4.7109375" style="1" customWidth="1"/>
    <col min="7681" max="7681" width="16.28515625" style="1" customWidth="1"/>
    <col min="7682" max="7682" width="9.7109375" style="1" customWidth="1"/>
    <col min="7683" max="7684" width="5.5703125" style="1" bestFit="1" customWidth="1"/>
    <col min="7685" max="7685" width="6.5703125" style="1" bestFit="1" customWidth="1"/>
    <col min="7686" max="7686" width="6.85546875" style="1" bestFit="1" customWidth="1"/>
    <col min="7687" max="7687" width="7.140625" style="1" bestFit="1" customWidth="1"/>
    <col min="7688" max="7688" width="7" style="1" bestFit="1" customWidth="1"/>
    <col min="7689" max="7689" width="9" style="1" bestFit="1" customWidth="1"/>
    <col min="7690" max="7690" width="8.85546875" style="1" bestFit="1" customWidth="1"/>
    <col min="7691" max="7691" width="8" style="1" bestFit="1" customWidth="1"/>
    <col min="7692" max="7693" width="5.85546875" style="1" customWidth="1"/>
    <col min="7694" max="7695" width="7.28515625" style="1" customWidth="1"/>
    <col min="7696" max="7696" width="7.42578125" style="1" customWidth="1"/>
    <col min="7697" max="7697" width="6.28515625" style="1" bestFit="1" customWidth="1"/>
    <col min="7698" max="7698" width="7.140625" style="1" bestFit="1" customWidth="1"/>
    <col min="7699" max="7700" width="5.5703125" style="1" bestFit="1" customWidth="1"/>
    <col min="7701" max="7702" width="6.28515625" style="1" customWidth="1"/>
    <col min="7703" max="7703" width="7.7109375" style="1" customWidth="1"/>
    <col min="7704" max="7935" width="9.140625" style="1"/>
    <col min="7936" max="7936" width="4.7109375" style="1" customWidth="1"/>
    <col min="7937" max="7937" width="16.28515625" style="1" customWidth="1"/>
    <col min="7938" max="7938" width="9.7109375" style="1" customWidth="1"/>
    <col min="7939" max="7940" width="5.5703125" style="1" bestFit="1" customWidth="1"/>
    <col min="7941" max="7941" width="6.5703125" style="1" bestFit="1" customWidth="1"/>
    <col min="7942" max="7942" width="6.85546875" style="1" bestFit="1" customWidth="1"/>
    <col min="7943" max="7943" width="7.140625" style="1" bestFit="1" customWidth="1"/>
    <col min="7944" max="7944" width="7" style="1" bestFit="1" customWidth="1"/>
    <col min="7945" max="7945" width="9" style="1" bestFit="1" customWidth="1"/>
    <col min="7946" max="7946" width="8.85546875" style="1" bestFit="1" customWidth="1"/>
    <col min="7947" max="7947" width="8" style="1" bestFit="1" customWidth="1"/>
    <col min="7948" max="7949" width="5.85546875" style="1" customWidth="1"/>
    <col min="7950" max="7951" width="7.28515625" style="1" customWidth="1"/>
    <col min="7952" max="7952" width="7.42578125" style="1" customWidth="1"/>
    <col min="7953" max="7953" width="6.28515625" style="1" bestFit="1" customWidth="1"/>
    <col min="7954" max="7954" width="7.140625" style="1" bestFit="1" customWidth="1"/>
    <col min="7955" max="7956" width="5.5703125" style="1" bestFit="1" customWidth="1"/>
    <col min="7957" max="7958" width="6.28515625" style="1" customWidth="1"/>
    <col min="7959" max="7959" width="7.7109375" style="1" customWidth="1"/>
    <col min="7960" max="8191" width="9.140625" style="1"/>
    <col min="8192" max="8192" width="4.7109375" style="1" customWidth="1"/>
    <col min="8193" max="8193" width="16.28515625" style="1" customWidth="1"/>
    <col min="8194" max="8194" width="9.7109375" style="1" customWidth="1"/>
    <col min="8195" max="8196" width="5.5703125" style="1" bestFit="1" customWidth="1"/>
    <col min="8197" max="8197" width="6.5703125" style="1" bestFit="1" customWidth="1"/>
    <col min="8198" max="8198" width="6.85546875" style="1" bestFit="1" customWidth="1"/>
    <col min="8199" max="8199" width="7.140625" style="1" bestFit="1" customWidth="1"/>
    <col min="8200" max="8200" width="7" style="1" bestFit="1" customWidth="1"/>
    <col min="8201" max="8201" width="9" style="1" bestFit="1" customWidth="1"/>
    <col min="8202" max="8202" width="8.85546875" style="1" bestFit="1" customWidth="1"/>
    <col min="8203" max="8203" width="8" style="1" bestFit="1" customWidth="1"/>
    <col min="8204" max="8205" width="5.85546875" style="1" customWidth="1"/>
    <col min="8206" max="8207" width="7.28515625" style="1" customWidth="1"/>
    <col min="8208" max="8208" width="7.42578125" style="1" customWidth="1"/>
    <col min="8209" max="8209" width="6.28515625" style="1" bestFit="1" customWidth="1"/>
    <col min="8210" max="8210" width="7.140625" style="1" bestFit="1" customWidth="1"/>
    <col min="8211" max="8212" width="5.5703125" style="1" bestFit="1" customWidth="1"/>
    <col min="8213" max="8214" width="6.28515625" style="1" customWidth="1"/>
    <col min="8215" max="8215" width="7.7109375" style="1" customWidth="1"/>
    <col min="8216" max="8447" width="9.140625" style="1"/>
    <col min="8448" max="8448" width="4.7109375" style="1" customWidth="1"/>
    <col min="8449" max="8449" width="16.28515625" style="1" customWidth="1"/>
    <col min="8450" max="8450" width="9.7109375" style="1" customWidth="1"/>
    <col min="8451" max="8452" width="5.5703125" style="1" bestFit="1" customWidth="1"/>
    <col min="8453" max="8453" width="6.5703125" style="1" bestFit="1" customWidth="1"/>
    <col min="8454" max="8454" width="6.85546875" style="1" bestFit="1" customWidth="1"/>
    <col min="8455" max="8455" width="7.140625" style="1" bestFit="1" customWidth="1"/>
    <col min="8456" max="8456" width="7" style="1" bestFit="1" customWidth="1"/>
    <col min="8457" max="8457" width="9" style="1" bestFit="1" customWidth="1"/>
    <col min="8458" max="8458" width="8.85546875" style="1" bestFit="1" customWidth="1"/>
    <col min="8459" max="8459" width="8" style="1" bestFit="1" customWidth="1"/>
    <col min="8460" max="8461" width="5.85546875" style="1" customWidth="1"/>
    <col min="8462" max="8463" width="7.28515625" style="1" customWidth="1"/>
    <col min="8464" max="8464" width="7.42578125" style="1" customWidth="1"/>
    <col min="8465" max="8465" width="6.28515625" style="1" bestFit="1" customWidth="1"/>
    <col min="8466" max="8466" width="7.140625" style="1" bestFit="1" customWidth="1"/>
    <col min="8467" max="8468" width="5.5703125" style="1" bestFit="1" customWidth="1"/>
    <col min="8469" max="8470" width="6.28515625" style="1" customWidth="1"/>
    <col min="8471" max="8471" width="7.7109375" style="1" customWidth="1"/>
    <col min="8472" max="8703" width="9.140625" style="1"/>
    <col min="8704" max="8704" width="4.7109375" style="1" customWidth="1"/>
    <col min="8705" max="8705" width="16.28515625" style="1" customWidth="1"/>
    <col min="8706" max="8706" width="9.7109375" style="1" customWidth="1"/>
    <col min="8707" max="8708" width="5.5703125" style="1" bestFit="1" customWidth="1"/>
    <col min="8709" max="8709" width="6.5703125" style="1" bestFit="1" customWidth="1"/>
    <col min="8710" max="8710" width="6.85546875" style="1" bestFit="1" customWidth="1"/>
    <col min="8711" max="8711" width="7.140625" style="1" bestFit="1" customWidth="1"/>
    <col min="8712" max="8712" width="7" style="1" bestFit="1" customWidth="1"/>
    <col min="8713" max="8713" width="9" style="1" bestFit="1" customWidth="1"/>
    <col min="8714" max="8714" width="8.85546875" style="1" bestFit="1" customWidth="1"/>
    <col min="8715" max="8715" width="8" style="1" bestFit="1" customWidth="1"/>
    <col min="8716" max="8717" width="5.85546875" style="1" customWidth="1"/>
    <col min="8718" max="8719" width="7.28515625" style="1" customWidth="1"/>
    <col min="8720" max="8720" width="7.42578125" style="1" customWidth="1"/>
    <col min="8721" max="8721" width="6.28515625" style="1" bestFit="1" customWidth="1"/>
    <col min="8722" max="8722" width="7.140625" style="1" bestFit="1" customWidth="1"/>
    <col min="8723" max="8724" width="5.5703125" style="1" bestFit="1" customWidth="1"/>
    <col min="8725" max="8726" width="6.28515625" style="1" customWidth="1"/>
    <col min="8727" max="8727" width="7.7109375" style="1" customWidth="1"/>
    <col min="8728" max="8959" width="9.140625" style="1"/>
    <col min="8960" max="8960" width="4.7109375" style="1" customWidth="1"/>
    <col min="8961" max="8961" width="16.28515625" style="1" customWidth="1"/>
    <col min="8962" max="8962" width="9.7109375" style="1" customWidth="1"/>
    <col min="8963" max="8964" width="5.5703125" style="1" bestFit="1" customWidth="1"/>
    <col min="8965" max="8965" width="6.5703125" style="1" bestFit="1" customWidth="1"/>
    <col min="8966" max="8966" width="6.85546875" style="1" bestFit="1" customWidth="1"/>
    <col min="8967" max="8967" width="7.140625" style="1" bestFit="1" customWidth="1"/>
    <col min="8968" max="8968" width="7" style="1" bestFit="1" customWidth="1"/>
    <col min="8969" max="8969" width="9" style="1" bestFit="1" customWidth="1"/>
    <col min="8970" max="8970" width="8.85546875" style="1" bestFit="1" customWidth="1"/>
    <col min="8971" max="8971" width="8" style="1" bestFit="1" customWidth="1"/>
    <col min="8972" max="8973" width="5.85546875" style="1" customWidth="1"/>
    <col min="8974" max="8975" width="7.28515625" style="1" customWidth="1"/>
    <col min="8976" max="8976" width="7.42578125" style="1" customWidth="1"/>
    <col min="8977" max="8977" width="6.28515625" style="1" bestFit="1" customWidth="1"/>
    <col min="8978" max="8978" width="7.140625" style="1" bestFit="1" customWidth="1"/>
    <col min="8979" max="8980" width="5.5703125" style="1" bestFit="1" customWidth="1"/>
    <col min="8981" max="8982" width="6.28515625" style="1" customWidth="1"/>
    <col min="8983" max="8983" width="7.7109375" style="1" customWidth="1"/>
    <col min="8984" max="9215" width="9.140625" style="1"/>
    <col min="9216" max="9216" width="4.7109375" style="1" customWidth="1"/>
    <col min="9217" max="9217" width="16.28515625" style="1" customWidth="1"/>
    <col min="9218" max="9218" width="9.7109375" style="1" customWidth="1"/>
    <col min="9219" max="9220" width="5.5703125" style="1" bestFit="1" customWidth="1"/>
    <col min="9221" max="9221" width="6.5703125" style="1" bestFit="1" customWidth="1"/>
    <col min="9222" max="9222" width="6.85546875" style="1" bestFit="1" customWidth="1"/>
    <col min="9223" max="9223" width="7.140625" style="1" bestFit="1" customWidth="1"/>
    <col min="9224" max="9224" width="7" style="1" bestFit="1" customWidth="1"/>
    <col min="9225" max="9225" width="9" style="1" bestFit="1" customWidth="1"/>
    <col min="9226" max="9226" width="8.85546875" style="1" bestFit="1" customWidth="1"/>
    <col min="9227" max="9227" width="8" style="1" bestFit="1" customWidth="1"/>
    <col min="9228" max="9229" width="5.85546875" style="1" customWidth="1"/>
    <col min="9230" max="9231" width="7.28515625" style="1" customWidth="1"/>
    <col min="9232" max="9232" width="7.42578125" style="1" customWidth="1"/>
    <col min="9233" max="9233" width="6.28515625" style="1" bestFit="1" customWidth="1"/>
    <col min="9234" max="9234" width="7.140625" style="1" bestFit="1" customWidth="1"/>
    <col min="9235" max="9236" width="5.5703125" style="1" bestFit="1" customWidth="1"/>
    <col min="9237" max="9238" width="6.28515625" style="1" customWidth="1"/>
    <col min="9239" max="9239" width="7.7109375" style="1" customWidth="1"/>
    <col min="9240" max="9471" width="9.140625" style="1"/>
    <col min="9472" max="9472" width="4.7109375" style="1" customWidth="1"/>
    <col min="9473" max="9473" width="16.28515625" style="1" customWidth="1"/>
    <col min="9474" max="9474" width="9.7109375" style="1" customWidth="1"/>
    <col min="9475" max="9476" width="5.5703125" style="1" bestFit="1" customWidth="1"/>
    <col min="9477" max="9477" width="6.5703125" style="1" bestFit="1" customWidth="1"/>
    <col min="9478" max="9478" width="6.85546875" style="1" bestFit="1" customWidth="1"/>
    <col min="9479" max="9479" width="7.140625" style="1" bestFit="1" customWidth="1"/>
    <col min="9480" max="9480" width="7" style="1" bestFit="1" customWidth="1"/>
    <col min="9481" max="9481" width="9" style="1" bestFit="1" customWidth="1"/>
    <col min="9482" max="9482" width="8.85546875" style="1" bestFit="1" customWidth="1"/>
    <col min="9483" max="9483" width="8" style="1" bestFit="1" customWidth="1"/>
    <col min="9484" max="9485" width="5.85546875" style="1" customWidth="1"/>
    <col min="9486" max="9487" width="7.28515625" style="1" customWidth="1"/>
    <col min="9488" max="9488" width="7.42578125" style="1" customWidth="1"/>
    <col min="9489" max="9489" width="6.28515625" style="1" bestFit="1" customWidth="1"/>
    <col min="9490" max="9490" width="7.140625" style="1" bestFit="1" customWidth="1"/>
    <col min="9491" max="9492" width="5.5703125" style="1" bestFit="1" customWidth="1"/>
    <col min="9493" max="9494" width="6.28515625" style="1" customWidth="1"/>
    <col min="9495" max="9495" width="7.7109375" style="1" customWidth="1"/>
    <col min="9496" max="9727" width="9.140625" style="1"/>
    <col min="9728" max="9728" width="4.7109375" style="1" customWidth="1"/>
    <col min="9729" max="9729" width="16.28515625" style="1" customWidth="1"/>
    <col min="9730" max="9730" width="9.7109375" style="1" customWidth="1"/>
    <col min="9731" max="9732" width="5.5703125" style="1" bestFit="1" customWidth="1"/>
    <col min="9733" max="9733" width="6.5703125" style="1" bestFit="1" customWidth="1"/>
    <col min="9734" max="9734" width="6.85546875" style="1" bestFit="1" customWidth="1"/>
    <col min="9735" max="9735" width="7.140625" style="1" bestFit="1" customWidth="1"/>
    <col min="9736" max="9736" width="7" style="1" bestFit="1" customWidth="1"/>
    <col min="9737" max="9737" width="9" style="1" bestFit="1" customWidth="1"/>
    <col min="9738" max="9738" width="8.85546875" style="1" bestFit="1" customWidth="1"/>
    <col min="9739" max="9739" width="8" style="1" bestFit="1" customWidth="1"/>
    <col min="9740" max="9741" width="5.85546875" style="1" customWidth="1"/>
    <col min="9742" max="9743" width="7.28515625" style="1" customWidth="1"/>
    <col min="9744" max="9744" width="7.42578125" style="1" customWidth="1"/>
    <col min="9745" max="9745" width="6.28515625" style="1" bestFit="1" customWidth="1"/>
    <col min="9746" max="9746" width="7.140625" style="1" bestFit="1" customWidth="1"/>
    <col min="9747" max="9748" width="5.5703125" style="1" bestFit="1" customWidth="1"/>
    <col min="9749" max="9750" width="6.28515625" style="1" customWidth="1"/>
    <col min="9751" max="9751" width="7.7109375" style="1" customWidth="1"/>
    <col min="9752" max="9983" width="9.140625" style="1"/>
    <col min="9984" max="9984" width="4.7109375" style="1" customWidth="1"/>
    <col min="9985" max="9985" width="16.28515625" style="1" customWidth="1"/>
    <col min="9986" max="9986" width="9.7109375" style="1" customWidth="1"/>
    <col min="9987" max="9988" width="5.5703125" style="1" bestFit="1" customWidth="1"/>
    <col min="9989" max="9989" width="6.5703125" style="1" bestFit="1" customWidth="1"/>
    <col min="9990" max="9990" width="6.85546875" style="1" bestFit="1" customWidth="1"/>
    <col min="9991" max="9991" width="7.140625" style="1" bestFit="1" customWidth="1"/>
    <col min="9992" max="9992" width="7" style="1" bestFit="1" customWidth="1"/>
    <col min="9993" max="9993" width="9" style="1" bestFit="1" customWidth="1"/>
    <col min="9994" max="9994" width="8.85546875" style="1" bestFit="1" customWidth="1"/>
    <col min="9995" max="9995" width="8" style="1" bestFit="1" customWidth="1"/>
    <col min="9996" max="9997" width="5.85546875" style="1" customWidth="1"/>
    <col min="9998" max="9999" width="7.28515625" style="1" customWidth="1"/>
    <col min="10000" max="10000" width="7.42578125" style="1" customWidth="1"/>
    <col min="10001" max="10001" width="6.28515625" style="1" bestFit="1" customWidth="1"/>
    <col min="10002" max="10002" width="7.140625" style="1" bestFit="1" customWidth="1"/>
    <col min="10003" max="10004" width="5.5703125" style="1" bestFit="1" customWidth="1"/>
    <col min="10005" max="10006" width="6.28515625" style="1" customWidth="1"/>
    <col min="10007" max="10007" width="7.7109375" style="1" customWidth="1"/>
    <col min="10008" max="10239" width="9.140625" style="1"/>
    <col min="10240" max="10240" width="4.7109375" style="1" customWidth="1"/>
    <col min="10241" max="10241" width="16.28515625" style="1" customWidth="1"/>
    <col min="10242" max="10242" width="9.7109375" style="1" customWidth="1"/>
    <col min="10243" max="10244" width="5.5703125" style="1" bestFit="1" customWidth="1"/>
    <col min="10245" max="10245" width="6.5703125" style="1" bestFit="1" customWidth="1"/>
    <col min="10246" max="10246" width="6.85546875" style="1" bestFit="1" customWidth="1"/>
    <col min="10247" max="10247" width="7.140625" style="1" bestFit="1" customWidth="1"/>
    <col min="10248" max="10248" width="7" style="1" bestFit="1" customWidth="1"/>
    <col min="10249" max="10249" width="9" style="1" bestFit="1" customWidth="1"/>
    <col min="10250" max="10250" width="8.85546875" style="1" bestFit="1" customWidth="1"/>
    <col min="10251" max="10251" width="8" style="1" bestFit="1" customWidth="1"/>
    <col min="10252" max="10253" width="5.85546875" style="1" customWidth="1"/>
    <col min="10254" max="10255" width="7.28515625" style="1" customWidth="1"/>
    <col min="10256" max="10256" width="7.42578125" style="1" customWidth="1"/>
    <col min="10257" max="10257" width="6.28515625" style="1" bestFit="1" customWidth="1"/>
    <col min="10258" max="10258" width="7.140625" style="1" bestFit="1" customWidth="1"/>
    <col min="10259" max="10260" width="5.5703125" style="1" bestFit="1" customWidth="1"/>
    <col min="10261" max="10262" width="6.28515625" style="1" customWidth="1"/>
    <col min="10263" max="10263" width="7.7109375" style="1" customWidth="1"/>
    <col min="10264" max="10495" width="9.140625" style="1"/>
    <col min="10496" max="10496" width="4.7109375" style="1" customWidth="1"/>
    <col min="10497" max="10497" width="16.28515625" style="1" customWidth="1"/>
    <col min="10498" max="10498" width="9.7109375" style="1" customWidth="1"/>
    <col min="10499" max="10500" width="5.5703125" style="1" bestFit="1" customWidth="1"/>
    <col min="10501" max="10501" width="6.5703125" style="1" bestFit="1" customWidth="1"/>
    <col min="10502" max="10502" width="6.85546875" style="1" bestFit="1" customWidth="1"/>
    <col min="10503" max="10503" width="7.140625" style="1" bestFit="1" customWidth="1"/>
    <col min="10504" max="10504" width="7" style="1" bestFit="1" customWidth="1"/>
    <col min="10505" max="10505" width="9" style="1" bestFit="1" customWidth="1"/>
    <col min="10506" max="10506" width="8.85546875" style="1" bestFit="1" customWidth="1"/>
    <col min="10507" max="10507" width="8" style="1" bestFit="1" customWidth="1"/>
    <col min="10508" max="10509" width="5.85546875" style="1" customWidth="1"/>
    <col min="10510" max="10511" width="7.28515625" style="1" customWidth="1"/>
    <col min="10512" max="10512" width="7.42578125" style="1" customWidth="1"/>
    <col min="10513" max="10513" width="6.28515625" style="1" bestFit="1" customWidth="1"/>
    <col min="10514" max="10514" width="7.140625" style="1" bestFit="1" customWidth="1"/>
    <col min="10515" max="10516" width="5.5703125" style="1" bestFit="1" customWidth="1"/>
    <col min="10517" max="10518" width="6.28515625" style="1" customWidth="1"/>
    <col min="10519" max="10519" width="7.7109375" style="1" customWidth="1"/>
    <col min="10520" max="10751" width="9.140625" style="1"/>
    <col min="10752" max="10752" width="4.7109375" style="1" customWidth="1"/>
    <col min="10753" max="10753" width="16.28515625" style="1" customWidth="1"/>
    <col min="10754" max="10754" width="9.7109375" style="1" customWidth="1"/>
    <col min="10755" max="10756" width="5.5703125" style="1" bestFit="1" customWidth="1"/>
    <col min="10757" max="10757" width="6.5703125" style="1" bestFit="1" customWidth="1"/>
    <col min="10758" max="10758" width="6.85546875" style="1" bestFit="1" customWidth="1"/>
    <col min="10759" max="10759" width="7.140625" style="1" bestFit="1" customWidth="1"/>
    <col min="10760" max="10760" width="7" style="1" bestFit="1" customWidth="1"/>
    <col min="10761" max="10761" width="9" style="1" bestFit="1" customWidth="1"/>
    <col min="10762" max="10762" width="8.85546875" style="1" bestFit="1" customWidth="1"/>
    <col min="10763" max="10763" width="8" style="1" bestFit="1" customWidth="1"/>
    <col min="10764" max="10765" width="5.85546875" style="1" customWidth="1"/>
    <col min="10766" max="10767" width="7.28515625" style="1" customWidth="1"/>
    <col min="10768" max="10768" width="7.42578125" style="1" customWidth="1"/>
    <col min="10769" max="10769" width="6.28515625" style="1" bestFit="1" customWidth="1"/>
    <col min="10770" max="10770" width="7.140625" style="1" bestFit="1" customWidth="1"/>
    <col min="10771" max="10772" width="5.5703125" style="1" bestFit="1" customWidth="1"/>
    <col min="10773" max="10774" width="6.28515625" style="1" customWidth="1"/>
    <col min="10775" max="10775" width="7.7109375" style="1" customWidth="1"/>
    <col min="10776" max="11007" width="9.140625" style="1"/>
    <col min="11008" max="11008" width="4.7109375" style="1" customWidth="1"/>
    <col min="11009" max="11009" width="16.28515625" style="1" customWidth="1"/>
    <col min="11010" max="11010" width="9.7109375" style="1" customWidth="1"/>
    <col min="11011" max="11012" width="5.5703125" style="1" bestFit="1" customWidth="1"/>
    <col min="11013" max="11013" width="6.5703125" style="1" bestFit="1" customWidth="1"/>
    <col min="11014" max="11014" width="6.85546875" style="1" bestFit="1" customWidth="1"/>
    <col min="11015" max="11015" width="7.140625" style="1" bestFit="1" customWidth="1"/>
    <col min="11016" max="11016" width="7" style="1" bestFit="1" customWidth="1"/>
    <col min="11017" max="11017" width="9" style="1" bestFit="1" customWidth="1"/>
    <col min="11018" max="11018" width="8.85546875" style="1" bestFit="1" customWidth="1"/>
    <col min="11019" max="11019" width="8" style="1" bestFit="1" customWidth="1"/>
    <col min="11020" max="11021" width="5.85546875" style="1" customWidth="1"/>
    <col min="11022" max="11023" width="7.28515625" style="1" customWidth="1"/>
    <col min="11024" max="11024" width="7.42578125" style="1" customWidth="1"/>
    <col min="11025" max="11025" width="6.28515625" style="1" bestFit="1" customWidth="1"/>
    <col min="11026" max="11026" width="7.140625" style="1" bestFit="1" customWidth="1"/>
    <col min="11027" max="11028" width="5.5703125" style="1" bestFit="1" customWidth="1"/>
    <col min="11029" max="11030" width="6.28515625" style="1" customWidth="1"/>
    <col min="11031" max="11031" width="7.7109375" style="1" customWidth="1"/>
    <col min="11032" max="11263" width="9.140625" style="1"/>
    <col min="11264" max="11264" width="4.7109375" style="1" customWidth="1"/>
    <col min="11265" max="11265" width="16.28515625" style="1" customWidth="1"/>
    <col min="11266" max="11266" width="9.7109375" style="1" customWidth="1"/>
    <col min="11267" max="11268" width="5.5703125" style="1" bestFit="1" customWidth="1"/>
    <col min="11269" max="11269" width="6.5703125" style="1" bestFit="1" customWidth="1"/>
    <col min="11270" max="11270" width="6.85546875" style="1" bestFit="1" customWidth="1"/>
    <col min="11271" max="11271" width="7.140625" style="1" bestFit="1" customWidth="1"/>
    <col min="11272" max="11272" width="7" style="1" bestFit="1" customWidth="1"/>
    <col min="11273" max="11273" width="9" style="1" bestFit="1" customWidth="1"/>
    <col min="11274" max="11274" width="8.85546875" style="1" bestFit="1" customWidth="1"/>
    <col min="11275" max="11275" width="8" style="1" bestFit="1" customWidth="1"/>
    <col min="11276" max="11277" width="5.85546875" style="1" customWidth="1"/>
    <col min="11278" max="11279" width="7.28515625" style="1" customWidth="1"/>
    <col min="11280" max="11280" width="7.42578125" style="1" customWidth="1"/>
    <col min="11281" max="11281" width="6.28515625" style="1" bestFit="1" customWidth="1"/>
    <col min="11282" max="11282" width="7.140625" style="1" bestFit="1" customWidth="1"/>
    <col min="11283" max="11284" width="5.5703125" style="1" bestFit="1" customWidth="1"/>
    <col min="11285" max="11286" width="6.28515625" style="1" customWidth="1"/>
    <col min="11287" max="11287" width="7.7109375" style="1" customWidth="1"/>
    <col min="11288" max="11519" width="9.140625" style="1"/>
    <col min="11520" max="11520" width="4.7109375" style="1" customWidth="1"/>
    <col min="11521" max="11521" width="16.28515625" style="1" customWidth="1"/>
    <col min="11522" max="11522" width="9.7109375" style="1" customWidth="1"/>
    <col min="11523" max="11524" width="5.5703125" style="1" bestFit="1" customWidth="1"/>
    <col min="11525" max="11525" width="6.5703125" style="1" bestFit="1" customWidth="1"/>
    <col min="11526" max="11526" width="6.85546875" style="1" bestFit="1" customWidth="1"/>
    <col min="11527" max="11527" width="7.140625" style="1" bestFit="1" customWidth="1"/>
    <col min="11528" max="11528" width="7" style="1" bestFit="1" customWidth="1"/>
    <col min="11529" max="11529" width="9" style="1" bestFit="1" customWidth="1"/>
    <col min="11530" max="11530" width="8.85546875" style="1" bestFit="1" customWidth="1"/>
    <col min="11531" max="11531" width="8" style="1" bestFit="1" customWidth="1"/>
    <col min="11532" max="11533" width="5.85546875" style="1" customWidth="1"/>
    <col min="11534" max="11535" width="7.28515625" style="1" customWidth="1"/>
    <col min="11536" max="11536" width="7.42578125" style="1" customWidth="1"/>
    <col min="11537" max="11537" width="6.28515625" style="1" bestFit="1" customWidth="1"/>
    <col min="11538" max="11538" width="7.140625" style="1" bestFit="1" customWidth="1"/>
    <col min="11539" max="11540" width="5.5703125" style="1" bestFit="1" customWidth="1"/>
    <col min="11541" max="11542" width="6.28515625" style="1" customWidth="1"/>
    <col min="11543" max="11543" width="7.7109375" style="1" customWidth="1"/>
    <col min="11544" max="11775" width="9.140625" style="1"/>
    <col min="11776" max="11776" width="4.7109375" style="1" customWidth="1"/>
    <col min="11777" max="11777" width="16.28515625" style="1" customWidth="1"/>
    <col min="11778" max="11778" width="9.7109375" style="1" customWidth="1"/>
    <col min="11779" max="11780" width="5.5703125" style="1" bestFit="1" customWidth="1"/>
    <col min="11781" max="11781" width="6.5703125" style="1" bestFit="1" customWidth="1"/>
    <col min="11782" max="11782" width="6.85546875" style="1" bestFit="1" customWidth="1"/>
    <col min="11783" max="11783" width="7.140625" style="1" bestFit="1" customWidth="1"/>
    <col min="11784" max="11784" width="7" style="1" bestFit="1" customWidth="1"/>
    <col min="11785" max="11785" width="9" style="1" bestFit="1" customWidth="1"/>
    <col min="11786" max="11786" width="8.85546875" style="1" bestFit="1" customWidth="1"/>
    <col min="11787" max="11787" width="8" style="1" bestFit="1" customWidth="1"/>
    <col min="11788" max="11789" width="5.85546875" style="1" customWidth="1"/>
    <col min="11790" max="11791" width="7.28515625" style="1" customWidth="1"/>
    <col min="11792" max="11792" width="7.42578125" style="1" customWidth="1"/>
    <col min="11793" max="11793" width="6.28515625" style="1" bestFit="1" customWidth="1"/>
    <col min="11794" max="11794" width="7.140625" style="1" bestFit="1" customWidth="1"/>
    <col min="11795" max="11796" width="5.5703125" style="1" bestFit="1" customWidth="1"/>
    <col min="11797" max="11798" width="6.28515625" style="1" customWidth="1"/>
    <col min="11799" max="11799" width="7.7109375" style="1" customWidth="1"/>
    <col min="11800" max="12031" width="9.140625" style="1"/>
    <col min="12032" max="12032" width="4.7109375" style="1" customWidth="1"/>
    <col min="12033" max="12033" width="16.28515625" style="1" customWidth="1"/>
    <col min="12034" max="12034" width="9.7109375" style="1" customWidth="1"/>
    <col min="12035" max="12036" width="5.5703125" style="1" bestFit="1" customWidth="1"/>
    <col min="12037" max="12037" width="6.5703125" style="1" bestFit="1" customWidth="1"/>
    <col min="12038" max="12038" width="6.85546875" style="1" bestFit="1" customWidth="1"/>
    <col min="12039" max="12039" width="7.140625" style="1" bestFit="1" customWidth="1"/>
    <col min="12040" max="12040" width="7" style="1" bestFit="1" customWidth="1"/>
    <col min="12041" max="12041" width="9" style="1" bestFit="1" customWidth="1"/>
    <col min="12042" max="12042" width="8.85546875" style="1" bestFit="1" customWidth="1"/>
    <col min="12043" max="12043" width="8" style="1" bestFit="1" customWidth="1"/>
    <col min="12044" max="12045" width="5.85546875" style="1" customWidth="1"/>
    <col min="12046" max="12047" width="7.28515625" style="1" customWidth="1"/>
    <col min="12048" max="12048" width="7.42578125" style="1" customWidth="1"/>
    <col min="12049" max="12049" width="6.28515625" style="1" bestFit="1" customWidth="1"/>
    <col min="12050" max="12050" width="7.140625" style="1" bestFit="1" customWidth="1"/>
    <col min="12051" max="12052" width="5.5703125" style="1" bestFit="1" customWidth="1"/>
    <col min="12053" max="12054" width="6.28515625" style="1" customWidth="1"/>
    <col min="12055" max="12055" width="7.7109375" style="1" customWidth="1"/>
    <col min="12056" max="12287" width="9.140625" style="1"/>
    <col min="12288" max="12288" width="4.7109375" style="1" customWidth="1"/>
    <col min="12289" max="12289" width="16.28515625" style="1" customWidth="1"/>
    <col min="12290" max="12290" width="9.7109375" style="1" customWidth="1"/>
    <col min="12291" max="12292" width="5.5703125" style="1" bestFit="1" customWidth="1"/>
    <col min="12293" max="12293" width="6.5703125" style="1" bestFit="1" customWidth="1"/>
    <col min="12294" max="12294" width="6.85546875" style="1" bestFit="1" customWidth="1"/>
    <col min="12295" max="12295" width="7.140625" style="1" bestFit="1" customWidth="1"/>
    <col min="12296" max="12296" width="7" style="1" bestFit="1" customWidth="1"/>
    <col min="12297" max="12297" width="9" style="1" bestFit="1" customWidth="1"/>
    <col min="12298" max="12298" width="8.85546875" style="1" bestFit="1" customWidth="1"/>
    <col min="12299" max="12299" width="8" style="1" bestFit="1" customWidth="1"/>
    <col min="12300" max="12301" width="5.85546875" style="1" customWidth="1"/>
    <col min="12302" max="12303" width="7.28515625" style="1" customWidth="1"/>
    <col min="12304" max="12304" width="7.42578125" style="1" customWidth="1"/>
    <col min="12305" max="12305" width="6.28515625" style="1" bestFit="1" customWidth="1"/>
    <col min="12306" max="12306" width="7.140625" style="1" bestFit="1" customWidth="1"/>
    <col min="12307" max="12308" width="5.5703125" style="1" bestFit="1" customWidth="1"/>
    <col min="12309" max="12310" width="6.28515625" style="1" customWidth="1"/>
    <col min="12311" max="12311" width="7.7109375" style="1" customWidth="1"/>
    <col min="12312" max="12543" width="9.140625" style="1"/>
    <col min="12544" max="12544" width="4.7109375" style="1" customWidth="1"/>
    <col min="12545" max="12545" width="16.28515625" style="1" customWidth="1"/>
    <col min="12546" max="12546" width="9.7109375" style="1" customWidth="1"/>
    <col min="12547" max="12548" width="5.5703125" style="1" bestFit="1" customWidth="1"/>
    <col min="12549" max="12549" width="6.5703125" style="1" bestFit="1" customWidth="1"/>
    <col min="12550" max="12550" width="6.85546875" style="1" bestFit="1" customWidth="1"/>
    <col min="12551" max="12551" width="7.140625" style="1" bestFit="1" customWidth="1"/>
    <col min="12552" max="12552" width="7" style="1" bestFit="1" customWidth="1"/>
    <col min="12553" max="12553" width="9" style="1" bestFit="1" customWidth="1"/>
    <col min="12554" max="12554" width="8.85546875" style="1" bestFit="1" customWidth="1"/>
    <col min="12555" max="12555" width="8" style="1" bestFit="1" customWidth="1"/>
    <col min="12556" max="12557" width="5.85546875" style="1" customWidth="1"/>
    <col min="12558" max="12559" width="7.28515625" style="1" customWidth="1"/>
    <col min="12560" max="12560" width="7.42578125" style="1" customWidth="1"/>
    <col min="12561" max="12561" width="6.28515625" style="1" bestFit="1" customWidth="1"/>
    <col min="12562" max="12562" width="7.140625" style="1" bestFit="1" customWidth="1"/>
    <col min="12563" max="12564" width="5.5703125" style="1" bestFit="1" customWidth="1"/>
    <col min="12565" max="12566" width="6.28515625" style="1" customWidth="1"/>
    <col min="12567" max="12567" width="7.7109375" style="1" customWidth="1"/>
    <col min="12568" max="12799" width="9.140625" style="1"/>
    <col min="12800" max="12800" width="4.7109375" style="1" customWidth="1"/>
    <col min="12801" max="12801" width="16.28515625" style="1" customWidth="1"/>
    <col min="12802" max="12802" width="9.7109375" style="1" customWidth="1"/>
    <col min="12803" max="12804" width="5.5703125" style="1" bestFit="1" customWidth="1"/>
    <col min="12805" max="12805" width="6.5703125" style="1" bestFit="1" customWidth="1"/>
    <col min="12806" max="12806" width="6.85546875" style="1" bestFit="1" customWidth="1"/>
    <col min="12807" max="12807" width="7.140625" style="1" bestFit="1" customWidth="1"/>
    <col min="12808" max="12808" width="7" style="1" bestFit="1" customWidth="1"/>
    <col min="12809" max="12809" width="9" style="1" bestFit="1" customWidth="1"/>
    <col min="12810" max="12810" width="8.85546875" style="1" bestFit="1" customWidth="1"/>
    <col min="12811" max="12811" width="8" style="1" bestFit="1" customWidth="1"/>
    <col min="12812" max="12813" width="5.85546875" style="1" customWidth="1"/>
    <col min="12814" max="12815" width="7.28515625" style="1" customWidth="1"/>
    <col min="12816" max="12816" width="7.42578125" style="1" customWidth="1"/>
    <col min="12817" max="12817" width="6.28515625" style="1" bestFit="1" customWidth="1"/>
    <col min="12818" max="12818" width="7.140625" style="1" bestFit="1" customWidth="1"/>
    <col min="12819" max="12820" width="5.5703125" style="1" bestFit="1" customWidth="1"/>
    <col min="12821" max="12822" width="6.28515625" style="1" customWidth="1"/>
    <col min="12823" max="12823" width="7.7109375" style="1" customWidth="1"/>
    <col min="12824" max="13055" width="9.140625" style="1"/>
    <col min="13056" max="13056" width="4.7109375" style="1" customWidth="1"/>
    <col min="13057" max="13057" width="16.28515625" style="1" customWidth="1"/>
    <col min="13058" max="13058" width="9.7109375" style="1" customWidth="1"/>
    <col min="13059" max="13060" width="5.5703125" style="1" bestFit="1" customWidth="1"/>
    <col min="13061" max="13061" width="6.5703125" style="1" bestFit="1" customWidth="1"/>
    <col min="13062" max="13062" width="6.85546875" style="1" bestFit="1" customWidth="1"/>
    <col min="13063" max="13063" width="7.140625" style="1" bestFit="1" customWidth="1"/>
    <col min="13064" max="13064" width="7" style="1" bestFit="1" customWidth="1"/>
    <col min="13065" max="13065" width="9" style="1" bestFit="1" customWidth="1"/>
    <col min="13066" max="13066" width="8.85546875" style="1" bestFit="1" customWidth="1"/>
    <col min="13067" max="13067" width="8" style="1" bestFit="1" customWidth="1"/>
    <col min="13068" max="13069" width="5.85546875" style="1" customWidth="1"/>
    <col min="13070" max="13071" width="7.28515625" style="1" customWidth="1"/>
    <col min="13072" max="13072" width="7.42578125" style="1" customWidth="1"/>
    <col min="13073" max="13073" width="6.28515625" style="1" bestFit="1" customWidth="1"/>
    <col min="13074" max="13074" width="7.140625" style="1" bestFit="1" customWidth="1"/>
    <col min="13075" max="13076" width="5.5703125" style="1" bestFit="1" customWidth="1"/>
    <col min="13077" max="13078" width="6.28515625" style="1" customWidth="1"/>
    <col min="13079" max="13079" width="7.7109375" style="1" customWidth="1"/>
    <col min="13080" max="13311" width="9.140625" style="1"/>
    <col min="13312" max="13312" width="4.7109375" style="1" customWidth="1"/>
    <col min="13313" max="13313" width="16.28515625" style="1" customWidth="1"/>
    <col min="13314" max="13314" width="9.7109375" style="1" customWidth="1"/>
    <col min="13315" max="13316" width="5.5703125" style="1" bestFit="1" customWidth="1"/>
    <col min="13317" max="13317" width="6.5703125" style="1" bestFit="1" customWidth="1"/>
    <col min="13318" max="13318" width="6.85546875" style="1" bestFit="1" customWidth="1"/>
    <col min="13319" max="13319" width="7.140625" style="1" bestFit="1" customWidth="1"/>
    <col min="13320" max="13320" width="7" style="1" bestFit="1" customWidth="1"/>
    <col min="13321" max="13321" width="9" style="1" bestFit="1" customWidth="1"/>
    <col min="13322" max="13322" width="8.85546875" style="1" bestFit="1" customWidth="1"/>
    <col min="13323" max="13323" width="8" style="1" bestFit="1" customWidth="1"/>
    <col min="13324" max="13325" width="5.85546875" style="1" customWidth="1"/>
    <col min="13326" max="13327" width="7.28515625" style="1" customWidth="1"/>
    <col min="13328" max="13328" width="7.42578125" style="1" customWidth="1"/>
    <col min="13329" max="13329" width="6.28515625" style="1" bestFit="1" customWidth="1"/>
    <col min="13330" max="13330" width="7.140625" style="1" bestFit="1" customWidth="1"/>
    <col min="13331" max="13332" width="5.5703125" style="1" bestFit="1" customWidth="1"/>
    <col min="13333" max="13334" width="6.28515625" style="1" customWidth="1"/>
    <col min="13335" max="13335" width="7.7109375" style="1" customWidth="1"/>
    <col min="13336" max="13567" width="9.140625" style="1"/>
    <col min="13568" max="13568" width="4.7109375" style="1" customWidth="1"/>
    <col min="13569" max="13569" width="16.28515625" style="1" customWidth="1"/>
    <col min="13570" max="13570" width="9.7109375" style="1" customWidth="1"/>
    <col min="13571" max="13572" width="5.5703125" style="1" bestFit="1" customWidth="1"/>
    <col min="13573" max="13573" width="6.5703125" style="1" bestFit="1" customWidth="1"/>
    <col min="13574" max="13574" width="6.85546875" style="1" bestFit="1" customWidth="1"/>
    <col min="13575" max="13575" width="7.140625" style="1" bestFit="1" customWidth="1"/>
    <col min="13576" max="13576" width="7" style="1" bestFit="1" customWidth="1"/>
    <col min="13577" max="13577" width="9" style="1" bestFit="1" customWidth="1"/>
    <col min="13578" max="13578" width="8.85546875" style="1" bestFit="1" customWidth="1"/>
    <col min="13579" max="13579" width="8" style="1" bestFit="1" customWidth="1"/>
    <col min="13580" max="13581" width="5.85546875" style="1" customWidth="1"/>
    <col min="13582" max="13583" width="7.28515625" style="1" customWidth="1"/>
    <col min="13584" max="13584" width="7.42578125" style="1" customWidth="1"/>
    <col min="13585" max="13585" width="6.28515625" style="1" bestFit="1" customWidth="1"/>
    <col min="13586" max="13586" width="7.140625" style="1" bestFit="1" customWidth="1"/>
    <col min="13587" max="13588" width="5.5703125" style="1" bestFit="1" customWidth="1"/>
    <col min="13589" max="13590" width="6.28515625" style="1" customWidth="1"/>
    <col min="13591" max="13591" width="7.7109375" style="1" customWidth="1"/>
    <col min="13592" max="13823" width="9.140625" style="1"/>
    <col min="13824" max="13824" width="4.7109375" style="1" customWidth="1"/>
    <col min="13825" max="13825" width="16.28515625" style="1" customWidth="1"/>
    <col min="13826" max="13826" width="9.7109375" style="1" customWidth="1"/>
    <col min="13827" max="13828" width="5.5703125" style="1" bestFit="1" customWidth="1"/>
    <col min="13829" max="13829" width="6.5703125" style="1" bestFit="1" customWidth="1"/>
    <col min="13830" max="13830" width="6.85546875" style="1" bestFit="1" customWidth="1"/>
    <col min="13831" max="13831" width="7.140625" style="1" bestFit="1" customWidth="1"/>
    <col min="13832" max="13832" width="7" style="1" bestFit="1" customWidth="1"/>
    <col min="13833" max="13833" width="9" style="1" bestFit="1" customWidth="1"/>
    <col min="13834" max="13834" width="8.85546875" style="1" bestFit="1" customWidth="1"/>
    <col min="13835" max="13835" width="8" style="1" bestFit="1" customWidth="1"/>
    <col min="13836" max="13837" width="5.85546875" style="1" customWidth="1"/>
    <col min="13838" max="13839" width="7.28515625" style="1" customWidth="1"/>
    <col min="13840" max="13840" width="7.42578125" style="1" customWidth="1"/>
    <col min="13841" max="13841" width="6.28515625" style="1" bestFit="1" customWidth="1"/>
    <col min="13842" max="13842" width="7.140625" style="1" bestFit="1" customWidth="1"/>
    <col min="13843" max="13844" width="5.5703125" style="1" bestFit="1" customWidth="1"/>
    <col min="13845" max="13846" width="6.28515625" style="1" customWidth="1"/>
    <col min="13847" max="13847" width="7.7109375" style="1" customWidth="1"/>
    <col min="13848" max="14079" width="9.140625" style="1"/>
    <col min="14080" max="14080" width="4.7109375" style="1" customWidth="1"/>
    <col min="14081" max="14081" width="16.28515625" style="1" customWidth="1"/>
    <col min="14082" max="14082" width="9.7109375" style="1" customWidth="1"/>
    <col min="14083" max="14084" width="5.5703125" style="1" bestFit="1" customWidth="1"/>
    <col min="14085" max="14085" width="6.5703125" style="1" bestFit="1" customWidth="1"/>
    <col min="14086" max="14086" width="6.85546875" style="1" bestFit="1" customWidth="1"/>
    <col min="14087" max="14087" width="7.140625" style="1" bestFit="1" customWidth="1"/>
    <col min="14088" max="14088" width="7" style="1" bestFit="1" customWidth="1"/>
    <col min="14089" max="14089" width="9" style="1" bestFit="1" customWidth="1"/>
    <col min="14090" max="14090" width="8.85546875" style="1" bestFit="1" customWidth="1"/>
    <col min="14091" max="14091" width="8" style="1" bestFit="1" customWidth="1"/>
    <col min="14092" max="14093" width="5.85546875" style="1" customWidth="1"/>
    <col min="14094" max="14095" width="7.28515625" style="1" customWidth="1"/>
    <col min="14096" max="14096" width="7.42578125" style="1" customWidth="1"/>
    <col min="14097" max="14097" width="6.28515625" style="1" bestFit="1" customWidth="1"/>
    <col min="14098" max="14098" width="7.140625" style="1" bestFit="1" customWidth="1"/>
    <col min="14099" max="14100" width="5.5703125" style="1" bestFit="1" customWidth="1"/>
    <col min="14101" max="14102" width="6.28515625" style="1" customWidth="1"/>
    <col min="14103" max="14103" width="7.7109375" style="1" customWidth="1"/>
    <col min="14104" max="14335" width="9.140625" style="1"/>
    <col min="14336" max="14336" width="4.7109375" style="1" customWidth="1"/>
    <col min="14337" max="14337" width="16.28515625" style="1" customWidth="1"/>
    <col min="14338" max="14338" width="9.7109375" style="1" customWidth="1"/>
    <col min="14339" max="14340" width="5.5703125" style="1" bestFit="1" customWidth="1"/>
    <col min="14341" max="14341" width="6.5703125" style="1" bestFit="1" customWidth="1"/>
    <col min="14342" max="14342" width="6.85546875" style="1" bestFit="1" customWidth="1"/>
    <col min="14343" max="14343" width="7.140625" style="1" bestFit="1" customWidth="1"/>
    <col min="14344" max="14344" width="7" style="1" bestFit="1" customWidth="1"/>
    <col min="14345" max="14345" width="9" style="1" bestFit="1" customWidth="1"/>
    <col min="14346" max="14346" width="8.85546875" style="1" bestFit="1" customWidth="1"/>
    <col min="14347" max="14347" width="8" style="1" bestFit="1" customWidth="1"/>
    <col min="14348" max="14349" width="5.85546875" style="1" customWidth="1"/>
    <col min="14350" max="14351" width="7.28515625" style="1" customWidth="1"/>
    <col min="14352" max="14352" width="7.42578125" style="1" customWidth="1"/>
    <col min="14353" max="14353" width="6.28515625" style="1" bestFit="1" customWidth="1"/>
    <col min="14354" max="14354" width="7.140625" style="1" bestFit="1" customWidth="1"/>
    <col min="14355" max="14356" width="5.5703125" style="1" bestFit="1" customWidth="1"/>
    <col min="14357" max="14358" width="6.28515625" style="1" customWidth="1"/>
    <col min="14359" max="14359" width="7.7109375" style="1" customWidth="1"/>
    <col min="14360" max="14591" width="9.140625" style="1"/>
    <col min="14592" max="14592" width="4.7109375" style="1" customWidth="1"/>
    <col min="14593" max="14593" width="16.28515625" style="1" customWidth="1"/>
    <col min="14594" max="14594" width="9.7109375" style="1" customWidth="1"/>
    <col min="14595" max="14596" width="5.5703125" style="1" bestFit="1" customWidth="1"/>
    <col min="14597" max="14597" width="6.5703125" style="1" bestFit="1" customWidth="1"/>
    <col min="14598" max="14598" width="6.85546875" style="1" bestFit="1" customWidth="1"/>
    <col min="14599" max="14599" width="7.140625" style="1" bestFit="1" customWidth="1"/>
    <col min="14600" max="14600" width="7" style="1" bestFit="1" customWidth="1"/>
    <col min="14601" max="14601" width="9" style="1" bestFit="1" customWidth="1"/>
    <col min="14602" max="14602" width="8.85546875" style="1" bestFit="1" customWidth="1"/>
    <col min="14603" max="14603" width="8" style="1" bestFit="1" customWidth="1"/>
    <col min="14604" max="14605" width="5.85546875" style="1" customWidth="1"/>
    <col min="14606" max="14607" width="7.28515625" style="1" customWidth="1"/>
    <col min="14608" max="14608" width="7.42578125" style="1" customWidth="1"/>
    <col min="14609" max="14609" width="6.28515625" style="1" bestFit="1" customWidth="1"/>
    <col min="14610" max="14610" width="7.140625" style="1" bestFit="1" customWidth="1"/>
    <col min="14611" max="14612" width="5.5703125" style="1" bestFit="1" customWidth="1"/>
    <col min="14613" max="14614" width="6.28515625" style="1" customWidth="1"/>
    <col min="14615" max="14615" width="7.7109375" style="1" customWidth="1"/>
    <col min="14616" max="14847" width="9.140625" style="1"/>
    <col min="14848" max="14848" width="4.7109375" style="1" customWidth="1"/>
    <col min="14849" max="14849" width="16.28515625" style="1" customWidth="1"/>
    <col min="14850" max="14850" width="9.7109375" style="1" customWidth="1"/>
    <col min="14851" max="14852" width="5.5703125" style="1" bestFit="1" customWidth="1"/>
    <col min="14853" max="14853" width="6.5703125" style="1" bestFit="1" customWidth="1"/>
    <col min="14854" max="14854" width="6.85546875" style="1" bestFit="1" customWidth="1"/>
    <col min="14855" max="14855" width="7.140625" style="1" bestFit="1" customWidth="1"/>
    <col min="14856" max="14856" width="7" style="1" bestFit="1" customWidth="1"/>
    <col min="14857" max="14857" width="9" style="1" bestFit="1" customWidth="1"/>
    <col min="14858" max="14858" width="8.85546875" style="1" bestFit="1" customWidth="1"/>
    <col min="14859" max="14859" width="8" style="1" bestFit="1" customWidth="1"/>
    <col min="14860" max="14861" width="5.85546875" style="1" customWidth="1"/>
    <col min="14862" max="14863" width="7.28515625" style="1" customWidth="1"/>
    <col min="14864" max="14864" width="7.42578125" style="1" customWidth="1"/>
    <col min="14865" max="14865" width="6.28515625" style="1" bestFit="1" customWidth="1"/>
    <col min="14866" max="14866" width="7.140625" style="1" bestFit="1" customWidth="1"/>
    <col min="14867" max="14868" width="5.5703125" style="1" bestFit="1" customWidth="1"/>
    <col min="14869" max="14870" width="6.28515625" style="1" customWidth="1"/>
    <col min="14871" max="14871" width="7.7109375" style="1" customWidth="1"/>
    <col min="14872" max="15103" width="9.140625" style="1"/>
    <col min="15104" max="15104" width="4.7109375" style="1" customWidth="1"/>
    <col min="15105" max="15105" width="16.28515625" style="1" customWidth="1"/>
    <col min="15106" max="15106" width="9.7109375" style="1" customWidth="1"/>
    <col min="15107" max="15108" width="5.5703125" style="1" bestFit="1" customWidth="1"/>
    <col min="15109" max="15109" width="6.5703125" style="1" bestFit="1" customWidth="1"/>
    <col min="15110" max="15110" width="6.85546875" style="1" bestFit="1" customWidth="1"/>
    <col min="15111" max="15111" width="7.140625" style="1" bestFit="1" customWidth="1"/>
    <col min="15112" max="15112" width="7" style="1" bestFit="1" customWidth="1"/>
    <col min="15113" max="15113" width="9" style="1" bestFit="1" customWidth="1"/>
    <col min="15114" max="15114" width="8.85546875" style="1" bestFit="1" customWidth="1"/>
    <col min="15115" max="15115" width="8" style="1" bestFit="1" customWidth="1"/>
    <col min="15116" max="15117" width="5.85546875" style="1" customWidth="1"/>
    <col min="15118" max="15119" width="7.28515625" style="1" customWidth="1"/>
    <col min="15120" max="15120" width="7.42578125" style="1" customWidth="1"/>
    <col min="15121" max="15121" width="6.28515625" style="1" bestFit="1" customWidth="1"/>
    <col min="15122" max="15122" width="7.140625" style="1" bestFit="1" customWidth="1"/>
    <col min="15123" max="15124" width="5.5703125" style="1" bestFit="1" customWidth="1"/>
    <col min="15125" max="15126" width="6.28515625" style="1" customWidth="1"/>
    <col min="15127" max="15127" width="7.7109375" style="1" customWidth="1"/>
    <col min="15128" max="15359" width="9.140625" style="1"/>
    <col min="15360" max="15360" width="4.7109375" style="1" customWidth="1"/>
    <col min="15361" max="15361" width="16.28515625" style="1" customWidth="1"/>
    <col min="15362" max="15362" width="9.7109375" style="1" customWidth="1"/>
    <col min="15363" max="15364" width="5.5703125" style="1" bestFit="1" customWidth="1"/>
    <col min="15365" max="15365" width="6.5703125" style="1" bestFit="1" customWidth="1"/>
    <col min="15366" max="15366" width="6.85546875" style="1" bestFit="1" customWidth="1"/>
    <col min="15367" max="15367" width="7.140625" style="1" bestFit="1" customWidth="1"/>
    <col min="15368" max="15368" width="7" style="1" bestFit="1" customWidth="1"/>
    <col min="15369" max="15369" width="9" style="1" bestFit="1" customWidth="1"/>
    <col min="15370" max="15370" width="8.85546875" style="1" bestFit="1" customWidth="1"/>
    <col min="15371" max="15371" width="8" style="1" bestFit="1" customWidth="1"/>
    <col min="15372" max="15373" width="5.85546875" style="1" customWidth="1"/>
    <col min="15374" max="15375" width="7.28515625" style="1" customWidth="1"/>
    <col min="15376" max="15376" width="7.42578125" style="1" customWidth="1"/>
    <col min="15377" max="15377" width="6.28515625" style="1" bestFit="1" customWidth="1"/>
    <col min="15378" max="15378" width="7.140625" style="1" bestFit="1" customWidth="1"/>
    <col min="15379" max="15380" width="5.5703125" style="1" bestFit="1" customWidth="1"/>
    <col min="15381" max="15382" width="6.28515625" style="1" customWidth="1"/>
    <col min="15383" max="15383" width="7.7109375" style="1" customWidth="1"/>
    <col min="15384" max="15615" width="9.140625" style="1"/>
    <col min="15616" max="15616" width="4.7109375" style="1" customWidth="1"/>
    <col min="15617" max="15617" width="16.28515625" style="1" customWidth="1"/>
    <col min="15618" max="15618" width="9.7109375" style="1" customWidth="1"/>
    <col min="15619" max="15620" width="5.5703125" style="1" bestFit="1" customWidth="1"/>
    <col min="15621" max="15621" width="6.5703125" style="1" bestFit="1" customWidth="1"/>
    <col min="15622" max="15622" width="6.85546875" style="1" bestFit="1" customWidth="1"/>
    <col min="15623" max="15623" width="7.140625" style="1" bestFit="1" customWidth="1"/>
    <col min="15624" max="15624" width="7" style="1" bestFit="1" customWidth="1"/>
    <col min="15625" max="15625" width="9" style="1" bestFit="1" customWidth="1"/>
    <col min="15626" max="15626" width="8.85546875" style="1" bestFit="1" customWidth="1"/>
    <col min="15627" max="15627" width="8" style="1" bestFit="1" customWidth="1"/>
    <col min="15628" max="15629" width="5.85546875" style="1" customWidth="1"/>
    <col min="15630" max="15631" width="7.28515625" style="1" customWidth="1"/>
    <col min="15632" max="15632" width="7.42578125" style="1" customWidth="1"/>
    <col min="15633" max="15633" width="6.28515625" style="1" bestFit="1" customWidth="1"/>
    <col min="15634" max="15634" width="7.140625" style="1" bestFit="1" customWidth="1"/>
    <col min="15635" max="15636" width="5.5703125" style="1" bestFit="1" customWidth="1"/>
    <col min="15637" max="15638" width="6.28515625" style="1" customWidth="1"/>
    <col min="15639" max="15639" width="7.7109375" style="1" customWidth="1"/>
    <col min="15640" max="15871" width="9.140625" style="1"/>
    <col min="15872" max="15872" width="4.7109375" style="1" customWidth="1"/>
    <col min="15873" max="15873" width="16.28515625" style="1" customWidth="1"/>
    <col min="15874" max="15874" width="9.7109375" style="1" customWidth="1"/>
    <col min="15875" max="15876" width="5.5703125" style="1" bestFit="1" customWidth="1"/>
    <col min="15877" max="15877" width="6.5703125" style="1" bestFit="1" customWidth="1"/>
    <col min="15878" max="15878" width="6.85546875" style="1" bestFit="1" customWidth="1"/>
    <col min="15879" max="15879" width="7.140625" style="1" bestFit="1" customWidth="1"/>
    <col min="15880" max="15880" width="7" style="1" bestFit="1" customWidth="1"/>
    <col min="15881" max="15881" width="9" style="1" bestFit="1" customWidth="1"/>
    <col min="15882" max="15882" width="8.85546875" style="1" bestFit="1" customWidth="1"/>
    <col min="15883" max="15883" width="8" style="1" bestFit="1" customWidth="1"/>
    <col min="15884" max="15885" width="5.85546875" style="1" customWidth="1"/>
    <col min="15886" max="15887" width="7.28515625" style="1" customWidth="1"/>
    <col min="15888" max="15888" width="7.42578125" style="1" customWidth="1"/>
    <col min="15889" max="15889" width="6.28515625" style="1" bestFit="1" customWidth="1"/>
    <col min="15890" max="15890" width="7.140625" style="1" bestFit="1" customWidth="1"/>
    <col min="15891" max="15892" width="5.5703125" style="1" bestFit="1" customWidth="1"/>
    <col min="15893" max="15894" width="6.28515625" style="1" customWidth="1"/>
    <col min="15895" max="15895" width="7.7109375" style="1" customWidth="1"/>
    <col min="15896" max="16127" width="9.140625" style="1"/>
    <col min="16128" max="16128" width="4.7109375" style="1" customWidth="1"/>
    <col min="16129" max="16129" width="16.28515625" style="1" customWidth="1"/>
    <col min="16130" max="16130" width="9.7109375" style="1" customWidth="1"/>
    <col min="16131" max="16132" width="5.5703125" style="1" bestFit="1" customWidth="1"/>
    <col min="16133" max="16133" width="6.5703125" style="1" bestFit="1" customWidth="1"/>
    <col min="16134" max="16134" width="6.85546875" style="1" bestFit="1" customWidth="1"/>
    <col min="16135" max="16135" width="7.140625" style="1" bestFit="1" customWidth="1"/>
    <col min="16136" max="16136" width="7" style="1" bestFit="1" customWidth="1"/>
    <col min="16137" max="16137" width="9" style="1" bestFit="1" customWidth="1"/>
    <col min="16138" max="16138" width="8.85546875" style="1" bestFit="1" customWidth="1"/>
    <col min="16139" max="16139" width="8" style="1" bestFit="1" customWidth="1"/>
    <col min="16140" max="16141" width="5.85546875" style="1" customWidth="1"/>
    <col min="16142" max="16143" width="7.28515625" style="1" customWidth="1"/>
    <col min="16144" max="16144" width="7.42578125" style="1" customWidth="1"/>
    <col min="16145" max="16145" width="6.28515625" style="1" bestFit="1" customWidth="1"/>
    <col min="16146" max="16146" width="7.140625" style="1" bestFit="1" customWidth="1"/>
    <col min="16147" max="16148" width="5.5703125" style="1" bestFit="1" customWidth="1"/>
    <col min="16149" max="16150" width="6.28515625" style="1" customWidth="1"/>
    <col min="16151" max="16151" width="7.7109375" style="1" customWidth="1"/>
    <col min="16152" max="16384" width="9.140625" style="1"/>
  </cols>
  <sheetData>
    <row r="1" spans="1:23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593" t="s">
        <v>1025</v>
      </c>
      <c r="V1" s="1593"/>
      <c r="W1" s="1593"/>
    </row>
    <row r="2" spans="1:23" ht="39.75" customHeight="1">
      <c r="A2" s="1594" t="s">
        <v>1281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</row>
    <row r="3" spans="1:23" ht="15.75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4"/>
      <c r="V3" s="34"/>
      <c r="W3" s="31"/>
    </row>
    <row r="4" spans="1:23" ht="15.75">
      <c r="A4" s="1596" t="s">
        <v>1282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</row>
    <row r="5" spans="1:23" ht="12.75" customHeight="1">
      <c r="A5" s="38"/>
      <c r="B5" s="38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1597" t="s">
        <v>296</v>
      </c>
      <c r="W5" s="1597"/>
    </row>
    <row r="6" spans="1:23" s="45" customFormat="1" ht="24" customHeight="1">
      <c r="A6" s="39" t="s">
        <v>297</v>
      </c>
      <c r="B6" s="40" t="s">
        <v>298</v>
      </c>
      <c r="C6" s="41" t="s">
        <v>299</v>
      </c>
      <c r="D6" s="41" t="s">
        <v>300</v>
      </c>
      <c r="E6" s="41" t="s">
        <v>301</v>
      </c>
      <c r="F6" s="41" t="s">
        <v>302</v>
      </c>
      <c r="G6" s="41" t="s">
        <v>303</v>
      </c>
      <c r="H6" s="41" t="s">
        <v>304</v>
      </c>
      <c r="I6" s="41" t="s">
        <v>149</v>
      </c>
      <c r="J6" s="41" t="s">
        <v>305</v>
      </c>
      <c r="K6" s="41" t="s">
        <v>306</v>
      </c>
      <c r="L6" s="41" t="s">
        <v>307</v>
      </c>
      <c r="M6" s="40" t="s">
        <v>825</v>
      </c>
      <c r="N6" s="40" t="s">
        <v>825</v>
      </c>
      <c r="O6" s="40" t="s">
        <v>825</v>
      </c>
      <c r="P6" s="42" t="s">
        <v>308</v>
      </c>
      <c r="Q6" s="41" t="s">
        <v>309</v>
      </c>
      <c r="R6" s="41" t="s">
        <v>310</v>
      </c>
      <c r="S6" s="41" t="s">
        <v>311</v>
      </c>
      <c r="T6" s="41" t="s">
        <v>312</v>
      </c>
      <c r="U6" s="43" t="s">
        <v>313</v>
      </c>
      <c r="V6" s="43" t="s">
        <v>1283</v>
      </c>
      <c r="W6" s="44" t="s">
        <v>294</v>
      </c>
    </row>
    <row r="7" spans="1:23" s="45" customFormat="1">
      <c r="A7" s="46" t="s">
        <v>314</v>
      </c>
      <c r="B7" s="47" t="s">
        <v>315</v>
      </c>
      <c r="C7" s="48"/>
      <c r="D7" s="48" t="s">
        <v>316</v>
      </c>
      <c r="E7" s="48" t="s">
        <v>317</v>
      </c>
      <c r="F7" s="48" t="s">
        <v>317</v>
      </c>
      <c r="G7" s="48" t="s">
        <v>318</v>
      </c>
      <c r="H7" s="48" t="s">
        <v>318</v>
      </c>
      <c r="I7" s="48" t="s">
        <v>318</v>
      </c>
      <c r="J7" s="48" t="s">
        <v>319</v>
      </c>
      <c r="K7" s="48" t="s">
        <v>320</v>
      </c>
      <c r="L7" s="48" t="s">
        <v>321</v>
      </c>
      <c r="M7" s="48" t="s">
        <v>322</v>
      </c>
      <c r="N7" s="48" t="s">
        <v>322</v>
      </c>
      <c r="O7" s="48" t="s">
        <v>322</v>
      </c>
      <c r="P7" s="48" t="s">
        <v>318</v>
      </c>
      <c r="Q7" s="48" t="s">
        <v>318</v>
      </c>
      <c r="R7" s="48" t="s">
        <v>318</v>
      </c>
      <c r="S7" s="48" t="s">
        <v>318</v>
      </c>
      <c r="T7" s="48" t="s">
        <v>318</v>
      </c>
      <c r="U7" s="49" t="s">
        <v>318</v>
      </c>
      <c r="V7" s="49" t="s">
        <v>318</v>
      </c>
      <c r="W7" s="50"/>
    </row>
    <row r="8" spans="1:23" s="45" customFormat="1">
      <c r="A8" s="46"/>
      <c r="B8" s="47"/>
      <c r="C8" s="48"/>
      <c r="D8" s="48" t="s">
        <v>318</v>
      </c>
      <c r="E8" s="48"/>
      <c r="F8" s="48"/>
      <c r="G8" s="48"/>
      <c r="H8" s="48"/>
      <c r="I8" s="48"/>
      <c r="J8" s="48" t="s">
        <v>318</v>
      </c>
      <c r="K8" s="48" t="s">
        <v>318</v>
      </c>
      <c r="L8" s="48"/>
      <c r="M8" s="51" t="s">
        <v>317</v>
      </c>
      <c r="N8" s="51" t="s">
        <v>317</v>
      </c>
      <c r="O8" s="51" t="s">
        <v>317</v>
      </c>
      <c r="P8" s="52" t="s">
        <v>160</v>
      </c>
      <c r="Q8" s="48"/>
      <c r="R8" s="48"/>
      <c r="S8" s="48" t="s">
        <v>160</v>
      </c>
      <c r="T8" s="48"/>
      <c r="U8" s="49" t="s">
        <v>160</v>
      </c>
      <c r="V8" s="49" t="s">
        <v>1284</v>
      </c>
      <c r="W8" s="50"/>
    </row>
    <row r="9" spans="1:23" s="45" customFormat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174">
        <v>2016</v>
      </c>
      <c r="N9" s="174">
        <v>2017</v>
      </c>
      <c r="O9" s="174">
        <v>2018</v>
      </c>
      <c r="P9" s="55"/>
      <c r="Q9" s="55"/>
      <c r="R9" s="55"/>
      <c r="S9" s="55"/>
      <c r="T9" s="55"/>
      <c r="U9" s="56"/>
      <c r="V9" s="56" t="s">
        <v>1285</v>
      </c>
      <c r="W9" s="57"/>
    </row>
    <row r="10" spans="1:23">
      <c r="A10" s="58">
        <v>1</v>
      </c>
      <c r="B10" s="59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0">
        <v>22</v>
      </c>
      <c r="W10" s="61">
        <v>23</v>
      </c>
    </row>
    <row r="11" spans="1:23" s="328" customFormat="1" ht="18" customHeight="1">
      <c r="A11" s="1598" t="s">
        <v>323</v>
      </c>
      <c r="B11" s="1599"/>
      <c r="C11" s="1599"/>
      <c r="D11" s="1599"/>
      <c r="E11" s="1599"/>
      <c r="F11" s="1599"/>
      <c r="G11" s="1599"/>
      <c r="H11" s="1599"/>
      <c r="I11" s="1599"/>
      <c r="J11" s="1599"/>
      <c r="K11" s="1599"/>
      <c r="L11" s="1599"/>
      <c r="M11" s="1599"/>
      <c r="N11" s="1599"/>
      <c r="O11" s="1599"/>
      <c r="P11" s="1599"/>
      <c r="Q11" s="1599"/>
      <c r="R11" s="1599"/>
      <c r="S11" s="1599"/>
      <c r="T11" s="1599"/>
      <c r="U11" s="1599"/>
      <c r="V11" s="1599"/>
      <c r="W11" s="1600"/>
    </row>
    <row r="12" spans="1:23" s="328" customFormat="1" ht="18" customHeight="1">
      <c r="A12" s="329"/>
      <c r="B12" s="606" t="s">
        <v>1286</v>
      </c>
      <c r="C12" s="607">
        <v>4.4404199999999996</v>
      </c>
      <c r="D12" s="607">
        <v>3.4200000000000001E-2</v>
      </c>
      <c r="E12" s="607">
        <v>3.585E-2</v>
      </c>
      <c r="F12" s="607">
        <v>0.33600000000000002</v>
      </c>
      <c r="G12" s="607">
        <v>0.94679400000000002</v>
      </c>
      <c r="H12" s="607">
        <v>0.24</v>
      </c>
      <c r="I12" s="607">
        <v>0.54912000000000005</v>
      </c>
      <c r="J12" s="607">
        <v>0.42</v>
      </c>
      <c r="K12" s="607">
        <v>0</v>
      </c>
      <c r="L12" s="607">
        <v>0</v>
      </c>
      <c r="M12" s="607">
        <v>0.348972</v>
      </c>
      <c r="N12" s="607">
        <v>0.41911199999999998</v>
      </c>
      <c r="O12" s="607">
        <v>0.41911199999999998</v>
      </c>
      <c r="P12" s="607">
        <v>0</v>
      </c>
      <c r="Q12" s="607">
        <v>0</v>
      </c>
      <c r="R12" s="607">
        <v>0</v>
      </c>
      <c r="S12" s="607">
        <v>0</v>
      </c>
      <c r="T12" s="607">
        <v>0</v>
      </c>
      <c r="U12" s="607">
        <v>0</v>
      </c>
      <c r="V12" s="607">
        <v>0.32400000000000001</v>
      </c>
      <c r="W12" s="608">
        <f>SUM(C12:V12)</f>
        <v>8.5135799999999993</v>
      </c>
    </row>
    <row r="13" spans="1:23" s="328" customFormat="1" ht="18" customHeight="1">
      <c r="A13" s="332"/>
      <c r="B13" s="609" t="s">
        <v>1287</v>
      </c>
      <c r="C13" s="607">
        <v>321.00096000000002</v>
      </c>
      <c r="D13" s="607">
        <v>0.1275</v>
      </c>
      <c r="E13" s="607">
        <v>0.11219999999999999</v>
      </c>
      <c r="F13" s="607">
        <v>1.4279999999999999</v>
      </c>
      <c r="G13" s="607">
        <v>66.817847999999998</v>
      </c>
      <c r="H13" s="607">
        <v>36.413747999999998</v>
      </c>
      <c r="I13" s="607">
        <v>88.002600000000001</v>
      </c>
      <c r="J13" s="607">
        <v>0.87</v>
      </c>
      <c r="K13" s="607">
        <v>1.41648</v>
      </c>
      <c r="L13" s="607">
        <v>0.25650000000000001</v>
      </c>
      <c r="M13" s="607">
        <v>24.988512</v>
      </c>
      <c r="N13" s="607">
        <v>30.823457999999999</v>
      </c>
      <c r="O13" s="607">
        <v>30.823457999999999</v>
      </c>
      <c r="P13" s="607">
        <v>0</v>
      </c>
      <c r="Q13" s="607">
        <v>3.7014</v>
      </c>
      <c r="R13" s="607">
        <v>0</v>
      </c>
      <c r="S13" s="607">
        <v>0</v>
      </c>
      <c r="T13" s="607">
        <v>0</v>
      </c>
      <c r="U13" s="607">
        <v>0</v>
      </c>
      <c r="V13" s="607">
        <v>0</v>
      </c>
      <c r="W13" s="608">
        <f>SUM(C13:V13)</f>
        <v>606.78266399999984</v>
      </c>
    </row>
    <row r="14" spans="1:23" s="328" customFormat="1" ht="18" customHeight="1">
      <c r="A14" s="329"/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608">
        <f>SUM(C14:V14)</f>
        <v>0</v>
      </c>
    </row>
    <row r="15" spans="1:23" s="328" customFormat="1" ht="18" customHeight="1">
      <c r="A15" s="332"/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608">
        <f>SUM(C15:V15)</f>
        <v>0</v>
      </c>
    </row>
    <row r="16" spans="1:23" s="19" customFormat="1" ht="18" customHeight="1">
      <c r="A16" s="1578" t="s">
        <v>138</v>
      </c>
      <c r="B16" s="1579"/>
      <c r="C16" s="610">
        <f>SUM(C12:C15)</f>
        <v>325.44138000000004</v>
      </c>
      <c r="D16" s="610">
        <f t="shared" ref="D16:W16" si="0">SUM(D12:D15)</f>
        <v>0.16170000000000001</v>
      </c>
      <c r="E16" s="610">
        <f t="shared" si="0"/>
        <v>0.14804999999999999</v>
      </c>
      <c r="F16" s="610">
        <f t="shared" si="0"/>
        <v>1.764</v>
      </c>
      <c r="G16" s="610">
        <f t="shared" si="0"/>
        <v>67.764641999999995</v>
      </c>
      <c r="H16" s="610">
        <f t="shared" si="0"/>
        <v>36.653748</v>
      </c>
      <c r="I16" s="610">
        <f t="shared" si="0"/>
        <v>88.551720000000003</v>
      </c>
      <c r="J16" s="610">
        <f t="shared" si="0"/>
        <v>1.29</v>
      </c>
      <c r="K16" s="610">
        <f t="shared" si="0"/>
        <v>1.41648</v>
      </c>
      <c r="L16" s="610">
        <f t="shared" si="0"/>
        <v>0.25650000000000001</v>
      </c>
      <c r="M16" s="610">
        <f t="shared" si="0"/>
        <v>25.337484</v>
      </c>
      <c r="N16" s="610">
        <f t="shared" si="0"/>
        <v>31.242569999999997</v>
      </c>
      <c r="O16" s="610">
        <f t="shared" si="0"/>
        <v>31.242569999999997</v>
      </c>
      <c r="P16" s="610">
        <f t="shared" si="0"/>
        <v>0</v>
      </c>
      <c r="Q16" s="610">
        <f t="shared" si="0"/>
        <v>3.7014</v>
      </c>
      <c r="R16" s="610">
        <f t="shared" si="0"/>
        <v>0</v>
      </c>
      <c r="S16" s="610">
        <f t="shared" si="0"/>
        <v>0</v>
      </c>
      <c r="T16" s="610">
        <f t="shared" si="0"/>
        <v>0</v>
      </c>
      <c r="U16" s="610">
        <f t="shared" si="0"/>
        <v>0</v>
      </c>
      <c r="V16" s="610">
        <f t="shared" si="0"/>
        <v>0.32400000000000001</v>
      </c>
      <c r="W16" s="610">
        <f t="shared" si="0"/>
        <v>615.29624399999989</v>
      </c>
    </row>
    <row r="17" spans="1:23" s="19" customFormat="1" ht="18" customHeight="1">
      <c r="A17" s="1584" t="s">
        <v>1288</v>
      </c>
      <c r="B17" s="1585"/>
      <c r="C17" s="1585"/>
      <c r="D17" s="1585"/>
      <c r="E17" s="1585"/>
      <c r="F17" s="1585"/>
      <c r="G17" s="1585"/>
      <c r="H17" s="1585"/>
      <c r="I17" s="1585"/>
      <c r="J17" s="1585"/>
      <c r="K17" s="1585"/>
      <c r="L17" s="1585"/>
      <c r="M17" s="1585"/>
      <c r="N17" s="1585"/>
      <c r="O17" s="1585"/>
      <c r="P17" s="1585"/>
      <c r="Q17" s="1585"/>
      <c r="R17" s="1585"/>
      <c r="S17" s="1585"/>
      <c r="T17" s="1585"/>
      <c r="U17" s="1585"/>
      <c r="V17" s="1585"/>
      <c r="W17" s="1586"/>
    </row>
    <row r="18" spans="1:23" s="19" customFormat="1" ht="18" customHeight="1">
      <c r="A18" s="611"/>
      <c r="B18" s="612" t="s">
        <v>1286</v>
      </c>
      <c r="C18" s="607">
        <v>101.65002</v>
      </c>
      <c r="D18" s="607">
        <v>0.54900000000000004</v>
      </c>
      <c r="E18" s="607">
        <v>0.441</v>
      </c>
      <c r="F18" s="607">
        <v>5.88</v>
      </c>
      <c r="G18" s="607">
        <v>15.20937</v>
      </c>
      <c r="H18" s="607">
        <v>5.61</v>
      </c>
      <c r="I18" s="607">
        <v>11.182079999999999</v>
      </c>
      <c r="J18" s="607">
        <v>6.06</v>
      </c>
      <c r="K18" s="607">
        <v>0.498</v>
      </c>
      <c r="L18" s="607">
        <v>1.7999999999999999E-2</v>
      </c>
      <c r="M18" s="607">
        <v>7.9818480000000003</v>
      </c>
      <c r="N18" s="607">
        <v>9.9057720000000007</v>
      </c>
      <c r="O18" s="607">
        <v>9.9057720000000007</v>
      </c>
      <c r="P18" s="607">
        <v>0</v>
      </c>
      <c r="Q18" s="607">
        <v>0</v>
      </c>
      <c r="R18" s="607">
        <v>0</v>
      </c>
      <c r="S18" s="607">
        <v>0</v>
      </c>
      <c r="T18" s="607">
        <v>0</v>
      </c>
      <c r="U18" s="607">
        <v>0</v>
      </c>
      <c r="V18" s="607">
        <v>1.944</v>
      </c>
      <c r="W18" s="608">
        <f>SUM(C18:V18)</f>
        <v>176.83486200000004</v>
      </c>
    </row>
    <row r="19" spans="1:23" s="19" customFormat="1" ht="18" customHeight="1">
      <c r="A19" s="329"/>
      <c r="B19" s="609" t="s">
        <v>1287</v>
      </c>
      <c r="C19" s="607">
        <v>33.315959999999997</v>
      </c>
      <c r="D19" s="607">
        <v>0</v>
      </c>
      <c r="E19" s="607">
        <v>0</v>
      </c>
      <c r="F19" s="607">
        <v>0</v>
      </c>
      <c r="G19" s="607">
        <v>9.386628</v>
      </c>
      <c r="H19" s="607">
        <v>4.0890899999999997</v>
      </c>
      <c r="I19" s="607">
        <v>8.9880899999999997</v>
      </c>
      <c r="J19" s="607">
        <v>0.33</v>
      </c>
      <c r="K19" s="607">
        <v>0</v>
      </c>
      <c r="L19" s="607">
        <v>4.4999999999999998E-2</v>
      </c>
      <c r="M19" s="607">
        <v>2.6151599999999999</v>
      </c>
      <c r="N19" s="607">
        <v>3.2529119999999998</v>
      </c>
      <c r="O19" s="607">
        <v>3.2529119999999998</v>
      </c>
      <c r="P19" s="607">
        <v>0</v>
      </c>
      <c r="Q19" s="607">
        <v>0.16200000000000001</v>
      </c>
      <c r="R19" s="607">
        <v>0</v>
      </c>
      <c r="S19" s="607">
        <v>0</v>
      </c>
      <c r="T19" s="607">
        <v>0</v>
      </c>
      <c r="U19" s="607">
        <v>0</v>
      </c>
      <c r="V19" s="607">
        <v>0</v>
      </c>
      <c r="W19" s="608">
        <f>SUM(C19:V19)</f>
        <v>65.437752000000003</v>
      </c>
    </row>
    <row r="20" spans="1:23" s="19" customFormat="1" ht="18" customHeight="1">
      <c r="A20" s="332"/>
      <c r="B20" s="333"/>
      <c r="C20" s="613">
        <f>SUM(C18:C19)</f>
        <v>134.96598</v>
      </c>
      <c r="D20" s="613">
        <f t="shared" ref="D20:W20" si="1">SUM(D18:D19)</f>
        <v>0.54900000000000004</v>
      </c>
      <c r="E20" s="613">
        <f t="shared" si="1"/>
        <v>0.441</v>
      </c>
      <c r="F20" s="613">
        <f t="shared" si="1"/>
        <v>5.88</v>
      </c>
      <c r="G20" s="613">
        <f t="shared" si="1"/>
        <v>24.595998000000002</v>
      </c>
      <c r="H20" s="613">
        <f t="shared" si="1"/>
        <v>9.69909</v>
      </c>
      <c r="I20" s="613">
        <f t="shared" si="1"/>
        <v>20.170169999999999</v>
      </c>
      <c r="J20" s="613">
        <f t="shared" si="1"/>
        <v>6.39</v>
      </c>
      <c r="K20" s="613">
        <f t="shared" si="1"/>
        <v>0.498</v>
      </c>
      <c r="L20" s="613">
        <f t="shared" si="1"/>
        <v>6.3E-2</v>
      </c>
      <c r="M20" s="613">
        <f t="shared" si="1"/>
        <v>10.597008000000001</v>
      </c>
      <c r="N20" s="613">
        <f t="shared" si="1"/>
        <v>13.158684000000001</v>
      </c>
      <c r="O20" s="613">
        <f t="shared" si="1"/>
        <v>13.158684000000001</v>
      </c>
      <c r="P20" s="613">
        <f t="shared" si="1"/>
        <v>0</v>
      </c>
      <c r="Q20" s="613">
        <f t="shared" si="1"/>
        <v>0.16200000000000001</v>
      </c>
      <c r="R20" s="613">
        <f t="shared" si="1"/>
        <v>0</v>
      </c>
      <c r="S20" s="613">
        <f t="shared" si="1"/>
        <v>0</v>
      </c>
      <c r="T20" s="613">
        <f t="shared" si="1"/>
        <v>0</v>
      </c>
      <c r="U20" s="613">
        <f t="shared" si="1"/>
        <v>0</v>
      </c>
      <c r="V20" s="613">
        <f t="shared" si="1"/>
        <v>1.944</v>
      </c>
      <c r="W20" s="613">
        <f t="shared" si="1"/>
        <v>242.27261400000003</v>
      </c>
    </row>
    <row r="21" spans="1:23" s="19" customFormat="1" ht="18" customHeight="1">
      <c r="A21" s="1584" t="s">
        <v>1289</v>
      </c>
      <c r="B21" s="1585"/>
      <c r="C21" s="1585"/>
      <c r="D21" s="1585"/>
      <c r="E21" s="1585"/>
      <c r="F21" s="1585"/>
      <c r="G21" s="1585"/>
      <c r="H21" s="1585"/>
      <c r="I21" s="1585"/>
      <c r="J21" s="1585"/>
      <c r="K21" s="1585"/>
      <c r="L21" s="1585"/>
      <c r="M21" s="1585"/>
      <c r="N21" s="1585"/>
      <c r="O21" s="1585"/>
      <c r="P21" s="1585"/>
      <c r="Q21" s="1585"/>
      <c r="R21" s="1585"/>
      <c r="S21" s="1585"/>
      <c r="T21" s="1585"/>
      <c r="U21" s="1585"/>
      <c r="V21" s="1585"/>
      <c r="W21" s="1586"/>
    </row>
    <row r="22" spans="1:23" s="19" customFormat="1" ht="18" customHeight="1">
      <c r="A22" s="614"/>
      <c r="B22" s="612" t="s">
        <v>1286</v>
      </c>
      <c r="C22" s="607">
        <v>32.820203999999997</v>
      </c>
      <c r="D22" s="607">
        <v>0.252</v>
      </c>
      <c r="E22" s="607">
        <v>0.16320000000000001</v>
      </c>
      <c r="F22" s="607">
        <v>2.6880000000000002</v>
      </c>
      <c r="G22" s="607">
        <v>4.0848959999999996</v>
      </c>
      <c r="H22" s="607">
        <v>1.23</v>
      </c>
      <c r="I22" s="607">
        <v>3.2947199999999999</v>
      </c>
      <c r="J22" s="607">
        <v>2.88</v>
      </c>
      <c r="K22" s="607">
        <v>0.318</v>
      </c>
      <c r="L22" s="607">
        <v>0</v>
      </c>
      <c r="M22" s="607">
        <v>2.5531199999999998</v>
      </c>
      <c r="N22" s="607">
        <v>3.1954319999999998</v>
      </c>
      <c r="O22" s="607">
        <v>3.1954319999999998</v>
      </c>
      <c r="P22" s="607">
        <v>0</v>
      </c>
      <c r="Q22" s="607">
        <v>0</v>
      </c>
      <c r="R22" s="607">
        <v>0</v>
      </c>
      <c r="S22" s="607">
        <v>0</v>
      </c>
      <c r="T22" s="607">
        <v>0</v>
      </c>
      <c r="U22" s="607">
        <v>0</v>
      </c>
      <c r="V22" s="607">
        <v>0.97199999999999998</v>
      </c>
      <c r="W22" s="608">
        <f>SUM(C22:V22)</f>
        <v>57.647003999999995</v>
      </c>
    </row>
    <row r="23" spans="1:23" s="19" customFormat="1" ht="18" customHeight="1">
      <c r="A23" s="614"/>
      <c r="B23" s="615" t="s">
        <v>1287</v>
      </c>
      <c r="C23" s="607">
        <v>15.0594</v>
      </c>
      <c r="D23" s="607">
        <v>1.2E-2</v>
      </c>
      <c r="E23" s="607">
        <v>0</v>
      </c>
      <c r="F23" s="607">
        <v>0</v>
      </c>
      <c r="G23" s="607">
        <v>3.4940039999999999</v>
      </c>
      <c r="H23" s="607">
        <v>1.7498279999999999</v>
      </c>
      <c r="I23" s="607">
        <v>3.7499280000000002</v>
      </c>
      <c r="J23" s="607">
        <v>0.12</v>
      </c>
      <c r="K23" s="607">
        <v>0</v>
      </c>
      <c r="L23" s="607">
        <v>8.9999999999999993E-3</v>
      </c>
      <c r="M23" s="607">
        <v>1.1856359999999999</v>
      </c>
      <c r="N23" s="607">
        <v>1.471686</v>
      </c>
      <c r="O23" s="607">
        <v>1.471686</v>
      </c>
      <c r="P23" s="607">
        <v>0</v>
      </c>
      <c r="Q23" s="607">
        <v>4.3200000000000002E-2</v>
      </c>
      <c r="R23" s="607">
        <v>0</v>
      </c>
      <c r="S23" s="607">
        <v>0</v>
      </c>
      <c r="T23" s="607">
        <v>0</v>
      </c>
      <c r="U23" s="607">
        <v>0</v>
      </c>
      <c r="V23" s="607">
        <v>0</v>
      </c>
      <c r="W23" s="608">
        <f>SUM(C23:V23)</f>
        <v>28.366368000000001</v>
      </c>
    </row>
    <row r="24" spans="1:23" s="19" customFormat="1" ht="18" customHeight="1">
      <c r="A24" s="1587" t="s">
        <v>138</v>
      </c>
      <c r="B24" s="1588"/>
      <c r="C24" s="616">
        <f>SUM(C22:C23)</f>
        <v>47.879604</v>
      </c>
      <c r="D24" s="616">
        <f t="shared" ref="D24:W24" si="2">SUM(D22:D23)</f>
        <v>0.26400000000000001</v>
      </c>
      <c r="E24" s="616">
        <f t="shared" si="2"/>
        <v>0.16320000000000001</v>
      </c>
      <c r="F24" s="616">
        <f t="shared" si="2"/>
        <v>2.6880000000000002</v>
      </c>
      <c r="G24" s="616">
        <f t="shared" si="2"/>
        <v>7.5788999999999991</v>
      </c>
      <c r="H24" s="616">
        <f t="shared" si="2"/>
        <v>2.9798279999999999</v>
      </c>
      <c r="I24" s="616">
        <f t="shared" si="2"/>
        <v>7.0446480000000005</v>
      </c>
      <c r="J24" s="616">
        <f t="shared" si="2"/>
        <v>3</v>
      </c>
      <c r="K24" s="616">
        <f t="shared" si="2"/>
        <v>0.318</v>
      </c>
      <c r="L24" s="616">
        <f t="shared" si="2"/>
        <v>8.9999999999999993E-3</v>
      </c>
      <c r="M24" s="616">
        <f t="shared" si="2"/>
        <v>3.7387559999999995</v>
      </c>
      <c r="N24" s="616">
        <f t="shared" si="2"/>
        <v>4.6671180000000003</v>
      </c>
      <c r="O24" s="616">
        <f t="shared" si="2"/>
        <v>4.6671180000000003</v>
      </c>
      <c r="P24" s="616">
        <f t="shared" si="2"/>
        <v>0</v>
      </c>
      <c r="Q24" s="616">
        <f t="shared" si="2"/>
        <v>4.3200000000000002E-2</v>
      </c>
      <c r="R24" s="616">
        <f t="shared" si="2"/>
        <v>0</v>
      </c>
      <c r="S24" s="616">
        <f t="shared" si="2"/>
        <v>0</v>
      </c>
      <c r="T24" s="616">
        <f t="shared" si="2"/>
        <v>0</v>
      </c>
      <c r="U24" s="616">
        <f t="shared" si="2"/>
        <v>0</v>
      </c>
      <c r="V24" s="616">
        <f t="shared" si="2"/>
        <v>0.97199999999999998</v>
      </c>
      <c r="W24" s="616">
        <f t="shared" si="2"/>
        <v>86.013372000000004</v>
      </c>
    </row>
    <row r="25" spans="1:23" s="19" customFormat="1" ht="18" customHeight="1">
      <c r="A25" s="1589" t="s">
        <v>453</v>
      </c>
      <c r="B25" s="1590"/>
      <c r="C25" s="1590"/>
      <c r="D25" s="1590"/>
      <c r="E25" s="1590"/>
      <c r="F25" s="1590"/>
      <c r="G25" s="1590"/>
      <c r="H25" s="1590"/>
      <c r="I25" s="1590"/>
      <c r="J25" s="1590"/>
      <c r="K25" s="1590"/>
      <c r="L25" s="1590"/>
      <c r="M25" s="1590"/>
      <c r="N25" s="1590"/>
      <c r="O25" s="1590"/>
      <c r="P25" s="1590"/>
      <c r="Q25" s="1590"/>
      <c r="R25" s="1590"/>
      <c r="S25" s="1590"/>
      <c r="T25" s="1590"/>
      <c r="U25" s="1590"/>
      <c r="V25" s="1590"/>
      <c r="W25" s="1591"/>
    </row>
    <row r="26" spans="1:23" s="19" customFormat="1" ht="18" customHeight="1">
      <c r="A26" s="614"/>
      <c r="B26" s="612" t="s">
        <v>1286</v>
      </c>
      <c r="C26" s="607">
        <v>42.450180000000003</v>
      </c>
      <c r="D26" s="607">
        <v>0.2268</v>
      </c>
      <c r="E26" s="607">
        <v>0.17610000000000001</v>
      </c>
      <c r="F26" s="607">
        <v>2.3519999999999999</v>
      </c>
      <c r="G26" s="607">
        <v>7.0308359999999999</v>
      </c>
      <c r="H26" s="607">
        <v>2.13</v>
      </c>
      <c r="I26" s="607">
        <v>4.29312</v>
      </c>
      <c r="J26" s="607">
        <v>2.34</v>
      </c>
      <c r="K26" s="607">
        <v>0.29699999999999999</v>
      </c>
      <c r="L26" s="607">
        <v>0</v>
      </c>
      <c r="M26" s="607">
        <v>3.3289559999999998</v>
      </c>
      <c r="N26" s="607">
        <v>4.146102</v>
      </c>
      <c r="O26" s="607">
        <v>4.146102</v>
      </c>
      <c r="P26" s="607">
        <v>0</v>
      </c>
      <c r="Q26" s="607">
        <v>0</v>
      </c>
      <c r="R26" s="607">
        <v>0</v>
      </c>
      <c r="S26" s="607">
        <v>0</v>
      </c>
      <c r="T26" s="607">
        <v>0</v>
      </c>
      <c r="U26" s="607">
        <v>0</v>
      </c>
      <c r="V26" s="607">
        <v>0.91800000000000004</v>
      </c>
      <c r="W26" s="608">
        <f>SUM(C26:V26)</f>
        <v>73.83519600000001</v>
      </c>
    </row>
    <row r="27" spans="1:23" s="19" customFormat="1" ht="18" customHeight="1">
      <c r="A27" s="614"/>
      <c r="B27" s="615" t="s">
        <v>1287</v>
      </c>
      <c r="C27" s="607">
        <v>20.737919999999999</v>
      </c>
      <c r="D27" s="607">
        <v>0</v>
      </c>
      <c r="E27" s="607">
        <v>0</v>
      </c>
      <c r="F27" s="607">
        <v>0</v>
      </c>
      <c r="G27" s="607">
        <v>5.2699680000000004</v>
      </c>
      <c r="H27" s="607">
        <v>2.5506120000000001</v>
      </c>
      <c r="I27" s="607">
        <v>5.4657419999999997</v>
      </c>
      <c r="J27" s="607">
        <v>0.15</v>
      </c>
      <c r="K27" s="607">
        <v>0</v>
      </c>
      <c r="L27" s="607">
        <v>1.7999999999999999E-2</v>
      </c>
      <c r="M27" s="607">
        <v>1.620738</v>
      </c>
      <c r="N27" s="607">
        <v>2.0276580000000002</v>
      </c>
      <c r="O27" s="607">
        <v>2.0276580000000002</v>
      </c>
      <c r="P27" s="607">
        <v>0</v>
      </c>
      <c r="Q27" s="607">
        <v>0.1026</v>
      </c>
      <c r="R27" s="607">
        <v>0</v>
      </c>
      <c r="S27" s="607">
        <v>0</v>
      </c>
      <c r="T27" s="607">
        <v>0</v>
      </c>
      <c r="U27" s="607">
        <v>0</v>
      </c>
      <c r="V27" s="607">
        <v>0</v>
      </c>
      <c r="W27" s="608">
        <f>SUM(C27:V27)</f>
        <v>39.97089600000001</v>
      </c>
    </row>
    <row r="28" spans="1:23" s="19" customFormat="1" ht="18" customHeight="1">
      <c r="A28" s="1587" t="s">
        <v>138</v>
      </c>
      <c r="B28" s="1588"/>
      <c r="C28" s="616">
        <f>SUM(C26:C27)</f>
        <v>63.188100000000006</v>
      </c>
      <c r="D28" s="616">
        <f t="shared" ref="D28:W28" si="3">SUM(D26:D27)</f>
        <v>0.2268</v>
      </c>
      <c r="E28" s="616">
        <f t="shared" si="3"/>
        <v>0.17610000000000001</v>
      </c>
      <c r="F28" s="616">
        <f t="shared" si="3"/>
        <v>2.3519999999999999</v>
      </c>
      <c r="G28" s="616">
        <f t="shared" si="3"/>
        <v>12.300803999999999</v>
      </c>
      <c r="H28" s="616">
        <f t="shared" si="3"/>
        <v>4.680612</v>
      </c>
      <c r="I28" s="616">
        <f t="shared" si="3"/>
        <v>9.7588620000000006</v>
      </c>
      <c r="J28" s="616">
        <f t="shared" si="3"/>
        <v>2.4899999999999998</v>
      </c>
      <c r="K28" s="616">
        <f t="shared" si="3"/>
        <v>0.29699999999999999</v>
      </c>
      <c r="L28" s="616">
        <f t="shared" si="3"/>
        <v>1.7999999999999999E-2</v>
      </c>
      <c r="M28" s="616">
        <f t="shared" si="3"/>
        <v>4.949694</v>
      </c>
      <c r="N28" s="616">
        <f t="shared" si="3"/>
        <v>6.1737599999999997</v>
      </c>
      <c r="O28" s="616">
        <f t="shared" si="3"/>
        <v>6.1737599999999997</v>
      </c>
      <c r="P28" s="616">
        <f t="shared" si="3"/>
        <v>0</v>
      </c>
      <c r="Q28" s="616">
        <f t="shared" si="3"/>
        <v>0.1026</v>
      </c>
      <c r="R28" s="616">
        <f t="shared" si="3"/>
        <v>0</v>
      </c>
      <c r="S28" s="616">
        <f t="shared" si="3"/>
        <v>0</v>
      </c>
      <c r="T28" s="616">
        <f t="shared" si="3"/>
        <v>0</v>
      </c>
      <c r="U28" s="616">
        <f t="shared" si="3"/>
        <v>0</v>
      </c>
      <c r="V28" s="616">
        <f t="shared" si="3"/>
        <v>0.91800000000000004</v>
      </c>
      <c r="W28" s="616">
        <f t="shared" si="3"/>
        <v>113.80609200000002</v>
      </c>
    </row>
    <row r="29" spans="1:23" s="19" customFormat="1" ht="18" customHeight="1">
      <c r="A29" s="1589" t="s">
        <v>1290</v>
      </c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1590"/>
      <c r="P29" s="1590"/>
      <c r="Q29" s="1590"/>
      <c r="R29" s="1590"/>
      <c r="S29" s="1590"/>
      <c r="T29" s="1590"/>
      <c r="U29" s="1590"/>
      <c r="V29" s="1590"/>
      <c r="W29" s="1591"/>
    </row>
    <row r="30" spans="1:23" s="19" customFormat="1" ht="18" customHeight="1">
      <c r="A30" s="611"/>
      <c r="B30" s="612" t="s">
        <v>1286</v>
      </c>
      <c r="C30" s="607">
        <v>76.849896000000001</v>
      </c>
      <c r="D30" s="607">
        <v>0.3009</v>
      </c>
      <c r="E30" s="607">
        <v>0.38279999999999997</v>
      </c>
      <c r="F30" s="607">
        <v>3.2759999999999998</v>
      </c>
      <c r="G30" s="607">
        <v>12.664536</v>
      </c>
      <c r="H30" s="607">
        <v>4.83</v>
      </c>
      <c r="I30" s="607">
        <v>8.3918999999999997</v>
      </c>
      <c r="J30" s="607">
        <v>5.22</v>
      </c>
      <c r="K30" s="607">
        <v>0.19800000000000001</v>
      </c>
      <c r="L30" s="607">
        <v>0.28799999999999998</v>
      </c>
      <c r="M30" s="607">
        <v>6.0318420000000001</v>
      </c>
      <c r="N30" s="607">
        <v>7.5045419999999998</v>
      </c>
      <c r="O30" s="607">
        <v>7.5045419999999998</v>
      </c>
      <c r="P30" s="607">
        <v>0</v>
      </c>
      <c r="Q30" s="607">
        <v>0</v>
      </c>
      <c r="R30" s="607">
        <v>0</v>
      </c>
      <c r="S30" s="607">
        <v>0</v>
      </c>
      <c r="T30" s="607">
        <v>0</v>
      </c>
      <c r="U30" s="607">
        <v>0</v>
      </c>
      <c r="V30" s="607">
        <v>0.32400000000000001</v>
      </c>
      <c r="W30" s="608">
        <f>SUM(C30:V30)</f>
        <v>133.76695799999999</v>
      </c>
    </row>
    <row r="31" spans="1:23" s="19" customFormat="1" ht="18" customHeight="1">
      <c r="A31" s="614"/>
      <c r="B31" s="615" t="s">
        <v>1287</v>
      </c>
      <c r="C31" s="607">
        <v>27.55716</v>
      </c>
      <c r="D31" s="607">
        <v>0</v>
      </c>
      <c r="E31" s="607">
        <v>3.0000000000000001E-3</v>
      </c>
      <c r="F31" s="607">
        <v>0</v>
      </c>
      <c r="G31" s="607">
        <v>7.862082</v>
      </c>
      <c r="H31" s="607">
        <v>3.521058</v>
      </c>
      <c r="I31" s="607">
        <v>7.4213639999999996</v>
      </c>
      <c r="J31" s="607">
        <v>0.03</v>
      </c>
      <c r="K31" s="607">
        <v>0</v>
      </c>
      <c r="L31" s="607">
        <v>2.7E-2</v>
      </c>
      <c r="M31" s="607">
        <v>2.1727439999999998</v>
      </c>
      <c r="N31" s="607">
        <v>2.6888339999999999</v>
      </c>
      <c r="O31" s="607">
        <v>2.6888339999999999</v>
      </c>
      <c r="P31" s="607">
        <v>0</v>
      </c>
      <c r="Q31" s="607">
        <v>0.1011</v>
      </c>
      <c r="R31" s="607">
        <v>0</v>
      </c>
      <c r="S31" s="607">
        <v>0</v>
      </c>
      <c r="T31" s="607">
        <v>0</v>
      </c>
      <c r="U31" s="607">
        <v>0</v>
      </c>
      <c r="V31" s="607">
        <v>0</v>
      </c>
      <c r="W31" s="608">
        <f>SUM(C31:V31)</f>
        <v>54.073175999999997</v>
      </c>
    </row>
    <row r="32" spans="1:23" s="19" customFormat="1" ht="18" customHeight="1">
      <c r="A32" s="1587" t="s">
        <v>138</v>
      </c>
      <c r="B32" s="1588"/>
      <c r="C32" s="616">
        <f>SUM(C30:C31)</f>
        <v>104.407056</v>
      </c>
      <c r="D32" s="616">
        <f t="shared" ref="D32:W32" si="4">SUM(D30:D31)</f>
        <v>0.3009</v>
      </c>
      <c r="E32" s="616">
        <f t="shared" si="4"/>
        <v>0.38579999999999998</v>
      </c>
      <c r="F32" s="616">
        <f t="shared" si="4"/>
        <v>3.2759999999999998</v>
      </c>
      <c r="G32" s="616">
        <f t="shared" si="4"/>
        <v>20.526617999999999</v>
      </c>
      <c r="H32" s="616">
        <f t="shared" si="4"/>
        <v>8.3510580000000001</v>
      </c>
      <c r="I32" s="616">
        <f t="shared" si="4"/>
        <v>15.813264</v>
      </c>
      <c r="J32" s="616">
        <f t="shared" si="4"/>
        <v>5.25</v>
      </c>
      <c r="K32" s="616">
        <f t="shared" si="4"/>
        <v>0.19800000000000001</v>
      </c>
      <c r="L32" s="616">
        <f t="shared" si="4"/>
        <v>0.315</v>
      </c>
      <c r="M32" s="616">
        <f t="shared" si="4"/>
        <v>8.204585999999999</v>
      </c>
      <c r="N32" s="616">
        <f t="shared" si="4"/>
        <v>10.193376000000001</v>
      </c>
      <c r="O32" s="616">
        <f t="shared" si="4"/>
        <v>10.193376000000001</v>
      </c>
      <c r="P32" s="616">
        <f t="shared" si="4"/>
        <v>0</v>
      </c>
      <c r="Q32" s="616">
        <f t="shared" si="4"/>
        <v>0.1011</v>
      </c>
      <c r="R32" s="616">
        <f t="shared" si="4"/>
        <v>0</v>
      </c>
      <c r="S32" s="616">
        <f t="shared" si="4"/>
        <v>0</v>
      </c>
      <c r="T32" s="616">
        <f t="shared" si="4"/>
        <v>0</v>
      </c>
      <c r="U32" s="616">
        <f t="shared" si="4"/>
        <v>0</v>
      </c>
      <c r="V32" s="616">
        <f t="shared" si="4"/>
        <v>0.32400000000000001</v>
      </c>
      <c r="W32" s="616">
        <f t="shared" si="4"/>
        <v>187.84013399999998</v>
      </c>
    </row>
    <row r="33" spans="1:23" s="19" customFormat="1" ht="18" customHeight="1">
      <c r="A33" s="1589" t="s">
        <v>1291</v>
      </c>
      <c r="B33" s="1590"/>
      <c r="C33" s="1590"/>
      <c r="D33" s="1590"/>
      <c r="E33" s="1590"/>
      <c r="F33" s="1590"/>
      <c r="G33" s="1590"/>
      <c r="H33" s="1590"/>
      <c r="I33" s="1590"/>
      <c r="J33" s="1590"/>
      <c r="K33" s="1590"/>
      <c r="L33" s="1590"/>
      <c r="M33" s="1590"/>
      <c r="N33" s="1590"/>
      <c r="O33" s="1590"/>
      <c r="P33" s="1590"/>
      <c r="Q33" s="1590"/>
      <c r="R33" s="1590"/>
      <c r="S33" s="1590"/>
      <c r="T33" s="1590"/>
      <c r="U33" s="1590"/>
      <c r="V33" s="1590"/>
      <c r="W33" s="1591"/>
    </row>
    <row r="34" spans="1:23" s="19" customFormat="1" ht="18" customHeight="1">
      <c r="A34" s="611"/>
      <c r="B34" s="612" t="s">
        <v>1286</v>
      </c>
      <c r="C34" s="607">
        <v>109.35642</v>
      </c>
      <c r="D34" s="607">
        <v>0.4083</v>
      </c>
      <c r="E34" s="607">
        <v>0.41160000000000002</v>
      </c>
      <c r="F34" s="607">
        <v>4.452</v>
      </c>
      <c r="G34" s="607">
        <v>18.276762000000002</v>
      </c>
      <c r="H34" s="607">
        <v>6.51</v>
      </c>
      <c r="I34" s="607">
        <v>12.080640000000001</v>
      </c>
      <c r="J34" s="607">
        <v>4.92</v>
      </c>
      <c r="K34" s="607">
        <v>0.25800000000000001</v>
      </c>
      <c r="L34" s="607">
        <v>1.7999999999999999E-2</v>
      </c>
      <c r="M34" s="607">
        <v>8.5648800000000005</v>
      </c>
      <c r="N34" s="607">
        <v>10.684151999999999</v>
      </c>
      <c r="O34" s="607">
        <v>10.684151999999999</v>
      </c>
      <c r="P34" s="607">
        <v>0</v>
      </c>
      <c r="Q34" s="607">
        <v>0</v>
      </c>
      <c r="R34" s="607">
        <v>0</v>
      </c>
      <c r="S34" s="607">
        <v>0</v>
      </c>
      <c r="T34" s="607">
        <v>0</v>
      </c>
      <c r="U34" s="607">
        <v>0</v>
      </c>
      <c r="V34" s="607">
        <v>0.86399999999999999</v>
      </c>
      <c r="W34" s="608">
        <f>SUM(C34:V34)</f>
        <v>187.48890599999999</v>
      </c>
    </row>
    <row r="35" spans="1:23" s="19" customFormat="1" ht="18" customHeight="1">
      <c r="A35" s="614"/>
      <c r="B35" s="615" t="s">
        <v>1287</v>
      </c>
      <c r="C35" s="607">
        <v>30.27468</v>
      </c>
      <c r="D35" s="607">
        <v>0</v>
      </c>
      <c r="E35" s="607">
        <v>0</v>
      </c>
      <c r="F35" s="607">
        <v>0</v>
      </c>
      <c r="G35" s="607">
        <v>7.5429839999999997</v>
      </c>
      <c r="H35" s="607">
        <v>3.7766639999999998</v>
      </c>
      <c r="I35" s="607">
        <v>8.3352059999999994</v>
      </c>
      <c r="J35" s="607">
        <v>0.03</v>
      </c>
      <c r="K35" s="607">
        <v>0</v>
      </c>
      <c r="L35" s="607">
        <v>4.0500000000000001E-2</v>
      </c>
      <c r="M35" s="607">
        <v>2.3932799999999999</v>
      </c>
      <c r="N35" s="607">
        <v>2.9561280000000001</v>
      </c>
      <c r="O35" s="607">
        <v>2.9561280000000001</v>
      </c>
      <c r="P35" s="607">
        <v>0</v>
      </c>
      <c r="Q35" s="607">
        <v>0.16200000000000001</v>
      </c>
      <c r="R35" s="607">
        <v>0</v>
      </c>
      <c r="S35" s="607">
        <v>0</v>
      </c>
      <c r="T35" s="607">
        <v>0</v>
      </c>
      <c r="U35" s="607">
        <v>0</v>
      </c>
      <c r="V35" s="607">
        <v>0</v>
      </c>
      <c r="W35" s="608">
        <f>SUM(C35:V35)</f>
        <v>58.467569999999995</v>
      </c>
    </row>
    <row r="36" spans="1:23" s="19" customFormat="1" ht="18" customHeight="1">
      <c r="A36" s="1587" t="s">
        <v>138</v>
      </c>
      <c r="B36" s="1588"/>
      <c r="C36" s="616">
        <f>SUM(C34:C35)</f>
        <v>139.6311</v>
      </c>
      <c r="D36" s="616">
        <f t="shared" ref="D36:W36" si="5">SUM(D34:D35)</f>
        <v>0.4083</v>
      </c>
      <c r="E36" s="616">
        <f t="shared" si="5"/>
        <v>0.41160000000000002</v>
      </c>
      <c r="F36" s="616">
        <f t="shared" si="5"/>
        <v>4.452</v>
      </c>
      <c r="G36" s="616">
        <f t="shared" si="5"/>
        <v>25.819746000000002</v>
      </c>
      <c r="H36" s="616">
        <f t="shared" si="5"/>
        <v>10.286664</v>
      </c>
      <c r="I36" s="616">
        <f t="shared" si="5"/>
        <v>20.415846000000002</v>
      </c>
      <c r="J36" s="616">
        <f t="shared" si="5"/>
        <v>4.95</v>
      </c>
      <c r="K36" s="616">
        <f t="shared" si="5"/>
        <v>0.25800000000000001</v>
      </c>
      <c r="L36" s="616">
        <f t="shared" si="5"/>
        <v>5.8499999999999996E-2</v>
      </c>
      <c r="M36" s="616">
        <f t="shared" si="5"/>
        <v>10.958159999999999</v>
      </c>
      <c r="N36" s="616">
        <f t="shared" si="5"/>
        <v>13.640279999999999</v>
      </c>
      <c r="O36" s="616">
        <f t="shared" si="5"/>
        <v>13.640279999999999</v>
      </c>
      <c r="P36" s="616">
        <f t="shared" si="5"/>
        <v>0</v>
      </c>
      <c r="Q36" s="616">
        <f t="shared" si="5"/>
        <v>0.16200000000000001</v>
      </c>
      <c r="R36" s="616">
        <f t="shared" si="5"/>
        <v>0</v>
      </c>
      <c r="S36" s="616">
        <f t="shared" si="5"/>
        <v>0</v>
      </c>
      <c r="T36" s="616">
        <f t="shared" si="5"/>
        <v>0</v>
      </c>
      <c r="U36" s="616">
        <f t="shared" si="5"/>
        <v>0</v>
      </c>
      <c r="V36" s="616">
        <f t="shared" si="5"/>
        <v>0.86399999999999999</v>
      </c>
      <c r="W36" s="616">
        <f t="shared" si="5"/>
        <v>245.95647599999998</v>
      </c>
    </row>
    <row r="37" spans="1:23" s="19" customFormat="1" ht="18" customHeight="1">
      <c r="A37" s="1589" t="s">
        <v>1292</v>
      </c>
      <c r="B37" s="1590"/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1"/>
    </row>
    <row r="38" spans="1:23" s="19" customFormat="1" ht="18" customHeight="1">
      <c r="A38" s="611"/>
      <c r="B38" s="612" t="s">
        <v>1286</v>
      </c>
      <c r="C38" s="607">
        <v>148.49196000000001</v>
      </c>
      <c r="D38" s="607">
        <v>0.83160000000000001</v>
      </c>
      <c r="E38" s="607">
        <v>0.74850000000000005</v>
      </c>
      <c r="F38" s="607">
        <v>9.1199999999999992</v>
      </c>
      <c r="G38" s="607">
        <v>22.399716000000002</v>
      </c>
      <c r="H38" s="607">
        <v>7.89</v>
      </c>
      <c r="I38" s="607">
        <v>15.82464</v>
      </c>
      <c r="J38" s="607">
        <v>11.52</v>
      </c>
      <c r="K38" s="607">
        <v>0.48599999999999999</v>
      </c>
      <c r="L38" s="607">
        <v>0</v>
      </c>
      <c r="M38" s="607">
        <v>11.586347999999999</v>
      </c>
      <c r="N38" s="607">
        <v>14.473853999999999</v>
      </c>
      <c r="O38" s="607">
        <v>14.473853999999999</v>
      </c>
      <c r="P38" s="607">
        <v>0</v>
      </c>
      <c r="Q38" s="607">
        <v>0</v>
      </c>
      <c r="R38" s="607">
        <v>0</v>
      </c>
      <c r="S38" s="607">
        <v>0</v>
      </c>
      <c r="T38" s="607">
        <v>0</v>
      </c>
      <c r="U38" s="607">
        <v>0</v>
      </c>
      <c r="V38" s="607">
        <v>2.5379999999999998</v>
      </c>
      <c r="W38" s="608">
        <f>SUM(C38:V38)</f>
        <v>260.38447200000002</v>
      </c>
    </row>
    <row r="39" spans="1:23" s="19" customFormat="1" ht="18" customHeight="1">
      <c r="A39" s="614"/>
      <c r="B39" s="615" t="s">
        <v>1287</v>
      </c>
      <c r="C39" s="607">
        <v>50.655900000000003</v>
      </c>
      <c r="D39" s="607">
        <v>0</v>
      </c>
      <c r="E39" s="607">
        <v>0</v>
      </c>
      <c r="F39" s="607">
        <v>0</v>
      </c>
      <c r="G39" s="607">
        <v>13.012320000000001</v>
      </c>
      <c r="H39" s="607">
        <v>6.8102039999999997</v>
      </c>
      <c r="I39" s="607">
        <v>14.393052000000001</v>
      </c>
      <c r="J39" s="607">
        <v>0.06</v>
      </c>
      <c r="K39" s="607">
        <v>0</v>
      </c>
      <c r="L39" s="607">
        <v>2.7E-2</v>
      </c>
      <c r="M39" s="607">
        <v>3.9979200000000001</v>
      </c>
      <c r="N39" s="607">
        <v>4.9412339999999997</v>
      </c>
      <c r="O39" s="607">
        <v>4.9412339999999997</v>
      </c>
      <c r="P39" s="607">
        <v>0.44130000000000003</v>
      </c>
      <c r="Q39" s="607">
        <v>0</v>
      </c>
      <c r="R39" s="607">
        <v>0</v>
      </c>
      <c r="S39" s="607">
        <v>0</v>
      </c>
      <c r="T39" s="607">
        <v>0</v>
      </c>
      <c r="U39" s="607">
        <v>0</v>
      </c>
      <c r="V39" s="607">
        <v>0</v>
      </c>
      <c r="W39" s="608">
        <f>SUM(C39:V39)</f>
        <v>99.280163999999985</v>
      </c>
    </row>
    <row r="40" spans="1:23" s="19" customFormat="1" ht="18" customHeight="1">
      <c r="A40" s="1587" t="s">
        <v>138</v>
      </c>
      <c r="B40" s="1588"/>
      <c r="C40" s="616">
        <f>SUM(C38:C39)</f>
        <v>199.14786000000001</v>
      </c>
      <c r="D40" s="616">
        <f t="shared" ref="D40:W40" si="6">SUM(D38:D39)</f>
        <v>0.83160000000000001</v>
      </c>
      <c r="E40" s="616">
        <f t="shared" si="6"/>
        <v>0.74850000000000005</v>
      </c>
      <c r="F40" s="616">
        <f t="shared" si="6"/>
        <v>9.1199999999999992</v>
      </c>
      <c r="G40" s="616">
        <f t="shared" si="6"/>
        <v>35.412036000000001</v>
      </c>
      <c r="H40" s="616">
        <f t="shared" si="6"/>
        <v>14.700203999999999</v>
      </c>
      <c r="I40" s="616">
        <f t="shared" si="6"/>
        <v>30.217692</v>
      </c>
      <c r="J40" s="616">
        <f t="shared" si="6"/>
        <v>11.58</v>
      </c>
      <c r="K40" s="616">
        <f t="shared" si="6"/>
        <v>0.48599999999999999</v>
      </c>
      <c r="L40" s="616">
        <f t="shared" si="6"/>
        <v>2.7E-2</v>
      </c>
      <c r="M40" s="616">
        <f t="shared" si="6"/>
        <v>15.584268</v>
      </c>
      <c r="N40" s="616">
        <f t="shared" si="6"/>
        <v>19.415087999999997</v>
      </c>
      <c r="O40" s="616">
        <f t="shared" si="6"/>
        <v>19.415087999999997</v>
      </c>
      <c r="P40" s="616">
        <f t="shared" si="6"/>
        <v>0.44130000000000003</v>
      </c>
      <c r="Q40" s="616">
        <f t="shared" si="6"/>
        <v>0</v>
      </c>
      <c r="R40" s="616">
        <f t="shared" si="6"/>
        <v>0</v>
      </c>
      <c r="S40" s="616">
        <f t="shared" si="6"/>
        <v>0</v>
      </c>
      <c r="T40" s="616">
        <f t="shared" si="6"/>
        <v>0</v>
      </c>
      <c r="U40" s="616">
        <f t="shared" si="6"/>
        <v>0</v>
      </c>
      <c r="V40" s="616">
        <f t="shared" si="6"/>
        <v>2.5379999999999998</v>
      </c>
      <c r="W40" s="616">
        <f t="shared" si="6"/>
        <v>359.66463599999997</v>
      </c>
    </row>
    <row r="41" spans="1:23" s="19" customFormat="1" ht="18" customHeight="1">
      <c r="A41" s="1589" t="s">
        <v>1293</v>
      </c>
      <c r="B41" s="1590"/>
      <c r="C41" s="1590"/>
      <c r="D41" s="1590"/>
      <c r="E41" s="1590"/>
      <c r="F41" s="1590"/>
      <c r="G41" s="1590"/>
      <c r="H41" s="1590"/>
      <c r="I41" s="1590"/>
      <c r="J41" s="1590"/>
      <c r="K41" s="1590"/>
      <c r="L41" s="1590"/>
      <c r="M41" s="1590"/>
      <c r="N41" s="1590"/>
      <c r="O41" s="1590"/>
      <c r="P41" s="1590"/>
      <c r="Q41" s="1590"/>
      <c r="R41" s="1590"/>
      <c r="S41" s="1590"/>
      <c r="T41" s="1590"/>
      <c r="U41" s="1590"/>
      <c r="V41" s="1590"/>
      <c r="W41" s="1591"/>
    </row>
    <row r="42" spans="1:23" s="328" customFormat="1" ht="18" customHeight="1">
      <c r="A42" s="611"/>
      <c r="B42" s="612" t="s">
        <v>1286</v>
      </c>
      <c r="C42" s="607">
        <v>59.338619999999999</v>
      </c>
      <c r="D42" s="607">
        <v>0.33600000000000002</v>
      </c>
      <c r="E42" s="607">
        <v>0.28139999999999998</v>
      </c>
      <c r="F42" s="607">
        <v>3.6960000000000002</v>
      </c>
      <c r="G42" s="607">
        <v>10.966932</v>
      </c>
      <c r="H42" s="607">
        <v>3.45</v>
      </c>
      <c r="I42" s="607">
        <v>6.33948</v>
      </c>
      <c r="J42" s="607">
        <v>2.73</v>
      </c>
      <c r="K42" s="607">
        <v>4.2000000000000003E-2</v>
      </c>
      <c r="L42" s="607">
        <v>0</v>
      </c>
      <c r="M42" s="607">
        <v>4.6330499999999999</v>
      </c>
      <c r="N42" s="607">
        <v>5.7873659999999996</v>
      </c>
      <c r="O42" s="607">
        <v>5.7873659999999996</v>
      </c>
      <c r="P42" s="607">
        <v>0</v>
      </c>
      <c r="Q42" s="607">
        <v>0</v>
      </c>
      <c r="R42" s="607">
        <v>0</v>
      </c>
      <c r="S42" s="607">
        <v>0</v>
      </c>
      <c r="T42" s="607">
        <v>0</v>
      </c>
      <c r="U42" s="607">
        <v>0</v>
      </c>
      <c r="V42" s="607">
        <v>0.32400000000000001</v>
      </c>
      <c r="W42" s="608">
        <f>SUM(C42:V42)</f>
        <v>103.712214</v>
      </c>
    </row>
    <row r="43" spans="1:23" s="328" customFormat="1" ht="18" customHeight="1">
      <c r="A43" s="614"/>
      <c r="B43" s="615" t="s">
        <v>1287</v>
      </c>
      <c r="C43" s="607">
        <v>9.0863399999999999</v>
      </c>
      <c r="D43" s="607">
        <v>0</v>
      </c>
      <c r="E43" s="607">
        <v>0</v>
      </c>
      <c r="F43" s="607">
        <v>0</v>
      </c>
      <c r="G43" s="607">
        <v>1.7163660000000001</v>
      </c>
      <c r="H43" s="607">
        <v>1.160574</v>
      </c>
      <c r="I43" s="607">
        <v>2.5234139999999998</v>
      </c>
      <c r="J43" s="607">
        <v>0.03</v>
      </c>
      <c r="K43" s="607">
        <v>0</v>
      </c>
      <c r="L43" s="607">
        <v>8.9999999999999993E-3</v>
      </c>
      <c r="M43" s="607">
        <v>0.70195200000000002</v>
      </c>
      <c r="N43" s="607">
        <v>0.88869600000000004</v>
      </c>
      <c r="O43" s="607">
        <v>0.88869600000000004</v>
      </c>
      <c r="P43" s="607">
        <v>0</v>
      </c>
      <c r="Q43" s="607">
        <v>6.2100000000000002E-2</v>
      </c>
      <c r="R43" s="607">
        <v>0</v>
      </c>
      <c r="S43" s="607">
        <v>0</v>
      </c>
      <c r="T43" s="607">
        <v>0</v>
      </c>
      <c r="U43" s="607">
        <v>0</v>
      </c>
      <c r="V43" s="607">
        <v>0</v>
      </c>
      <c r="W43" s="608">
        <f>SUM(C43:V43)</f>
        <v>17.067138</v>
      </c>
    </row>
    <row r="44" spans="1:23" s="328" customFormat="1" ht="18" customHeight="1">
      <c r="A44" s="1587" t="s">
        <v>138</v>
      </c>
      <c r="B44" s="1588"/>
      <c r="C44" s="616">
        <f>SUM(C42:C43)</f>
        <v>68.424959999999999</v>
      </c>
      <c r="D44" s="616">
        <f t="shared" ref="D44:W44" si="7">SUM(D42:D43)</f>
        <v>0.33600000000000002</v>
      </c>
      <c r="E44" s="616">
        <f t="shared" si="7"/>
        <v>0.28139999999999998</v>
      </c>
      <c r="F44" s="616">
        <f t="shared" si="7"/>
        <v>3.6960000000000002</v>
      </c>
      <c r="G44" s="616">
        <f t="shared" si="7"/>
        <v>12.683298000000001</v>
      </c>
      <c r="H44" s="616">
        <f t="shared" si="7"/>
        <v>4.6105739999999997</v>
      </c>
      <c r="I44" s="616">
        <f t="shared" si="7"/>
        <v>8.8628940000000007</v>
      </c>
      <c r="J44" s="616">
        <f t="shared" si="7"/>
        <v>2.76</v>
      </c>
      <c r="K44" s="616">
        <f t="shared" si="7"/>
        <v>4.2000000000000003E-2</v>
      </c>
      <c r="L44" s="616">
        <f t="shared" si="7"/>
        <v>8.9999999999999993E-3</v>
      </c>
      <c r="M44" s="616">
        <f t="shared" si="7"/>
        <v>5.3350020000000002</v>
      </c>
      <c r="N44" s="616">
        <f t="shared" si="7"/>
        <v>6.6760619999999999</v>
      </c>
      <c r="O44" s="616">
        <f t="shared" si="7"/>
        <v>6.6760619999999999</v>
      </c>
      <c r="P44" s="616">
        <f t="shared" si="7"/>
        <v>0</v>
      </c>
      <c r="Q44" s="616">
        <f t="shared" si="7"/>
        <v>6.2100000000000002E-2</v>
      </c>
      <c r="R44" s="616">
        <f t="shared" si="7"/>
        <v>0</v>
      </c>
      <c r="S44" s="616">
        <f t="shared" si="7"/>
        <v>0</v>
      </c>
      <c r="T44" s="616">
        <f t="shared" si="7"/>
        <v>0</v>
      </c>
      <c r="U44" s="616">
        <f t="shared" si="7"/>
        <v>0</v>
      </c>
      <c r="V44" s="616">
        <f t="shared" si="7"/>
        <v>0.32400000000000001</v>
      </c>
      <c r="W44" s="616">
        <f t="shared" si="7"/>
        <v>120.779352</v>
      </c>
    </row>
    <row r="45" spans="1:23" s="328" customFormat="1" ht="18" customHeight="1">
      <c r="A45" s="1587" t="s">
        <v>894</v>
      </c>
      <c r="B45" s="1588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7"/>
    </row>
    <row r="46" spans="1:23" s="19" customFormat="1" ht="30.75" customHeight="1">
      <c r="A46" s="618"/>
      <c r="B46" s="619" t="s">
        <v>1294</v>
      </c>
      <c r="C46" s="607">
        <f>+C13</f>
        <v>321.00096000000002</v>
      </c>
      <c r="D46" s="607">
        <f t="shared" ref="D46:V46" si="8">+D13</f>
        <v>0.1275</v>
      </c>
      <c r="E46" s="607">
        <f t="shared" si="8"/>
        <v>0.11219999999999999</v>
      </c>
      <c r="F46" s="607">
        <f t="shared" si="8"/>
        <v>1.4279999999999999</v>
      </c>
      <c r="G46" s="607">
        <f t="shared" si="8"/>
        <v>66.817847999999998</v>
      </c>
      <c r="H46" s="607">
        <f t="shared" si="8"/>
        <v>36.413747999999998</v>
      </c>
      <c r="I46" s="607">
        <f t="shared" si="8"/>
        <v>88.002600000000001</v>
      </c>
      <c r="J46" s="607">
        <f t="shared" si="8"/>
        <v>0.87</v>
      </c>
      <c r="K46" s="607">
        <f t="shared" si="8"/>
        <v>1.41648</v>
      </c>
      <c r="L46" s="607">
        <f t="shared" si="8"/>
        <v>0.25650000000000001</v>
      </c>
      <c r="M46" s="607">
        <f t="shared" si="8"/>
        <v>24.988512</v>
      </c>
      <c r="N46" s="607">
        <f t="shared" si="8"/>
        <v>30.823457999999999</v>
      </c>
      <c r="O46" s="607">
        <f t="shared" si="8"/>
        <v>30.823457999999999</v>
      </c>
      <c r="P46" s="607">
        <f t="shared" si="8"/>
        <v>0</v>
      </c>
      <c r="Q46" s="607">
        <f t="shared" si="8"/>
        <v>3.7014</v>
      </c>
      <c r="R46" s="607">
        <f t="shared" si="8"/>
        <v>0</v>
      </c>
      <c r="S46" s="607">
        <f t="shared" si="8"/>
        <v>0</v>
      </c>
      <c r="T46" s="607">
        <f t="shared" si="8"/>
        <v>0</v>
      </c>
      <c r="U46" s="607">
        <f t="shared" si="8"/>
        <v>0</v>
      </c>
      <c r="V46" s="607">
        <f t="shared" si="8"/>
        <v>0</v>
      </c>
      <c r="W46" s="608">
        <f>SUM(C46:V46)</f>
        <v>606.78266399999984</v>
      </c>
    </row>
    <row r="47" spans="1:23" s="328" customFormat="1" ht="18" customHeight="1">
      <c r="A47" s="611"/>
      <c r="B47" s="620" t="s">
        <v>1295</v>
      </c>
      <c r="C47" s="607">
        <f>+C12+C18+C22+C26+C30+C34+C38+C42</f>
        <v>575.39771999999994</v>
      </c>
      <c r="D47" s="607">
        <f t="shared" ref="D47:V47" si="9">+D12+D18+D22+D26+D30+D34+D38+D42</f>
        <v>2.9387999999999996</v>
      </c>
      <c r="E47" s="607">
        <f t="shared" si="9"/>
        <v>2.64045</v>
      </c>
      <c r="F47" s="607">
        <f t="shared" si="9"/>
        <v>31.8</v>
      </c>
      <c r="G47" s="607">
        <f t="shared" si="9"/>
        <v>91.579841999999999</v>
      </c>
      <c r="H47" s="607">
        <f t="shared" si="9"/>
        <v>31.89</v>
      </c>
      <c r="I47" s="607">
        <f t="shared" si="9"/>
        <v>61.955700000000007</v>
      </c>
      <c r="J47" s="607">
        <f t="shared" si="9"/>
        <v>36.089999999999996</v>
      </c>
      <c r="K47" s="607">
        <f t="shared" si="9"/>
        <v>2.0969999999999995</v>
      </c>
      <c r="L47" s="607">
        <f t="shared" si="9"/>
        <v>0.32400000000000001</v>
      </c>
      <c r="M47" s="607">
        <f t="shared" si="9"/>
        <v>45.029015999999999</v>
      </c>
      <c r="N47" s="607">
        <f t="shared" si="9"/>
        <v>56.116331999999993</v>
      </c>
      <c r="O47" s="607">
        <f t="shared" si="9"/>
        <v>56.116331999999993</v>
      </c>
      <c r="P47" s="607">
        <f t="shared" si="9"/>
        <v>0</v>
      </c>
      <c r="Q47" s="607">
        <f t="shared" si="9"/>
        <v>0</v>
      </c>
      <c r="R47" s="607">
        <f t="shared" si="9"/>
        <v>0</v>
      </c>
      <c r="S47" s="607">
        <f t="shared" si="9"/>
        <v>0</v>
      </c>
      <c r="T47" s="607">
        <f t="shared" si="9"/>
        <v>0</v>
      </c>
      <c r="U47" s="607">
        <f t="shared" si="9"/>
        <v>0</v>
      </c>
      <c r="V47" s="607">
        <f t="shared" si="9"/>
        <v>8.2079999999999984</v>
      </c>
      <c r="W47" s="608">
        <f>SUM(C47:V47)</f>
        <v>1002.1831919999996</v>
      </c>
    </row>
    <row r="48" spans="1:23" s="328" customFormat="1" ht="15" customHeight="1">
      <c r="A48" s="614"/>
      <c r="B48" s="621" t="s">
        <v>1287</v>
      </c>
      <c r="C48" s="607">
        <f>+C19+C23+C27+C31+C35+C39+C43</f>
        <v>186.68736000000001</v>
      </c>
      <c r="D48" s="607">
        <f t="shared" ref="D48:V48" si="10">+D19+D23+D27+D31+D35+D39+D43</f>
        <v>1.2E-2</v>
      </c>
      <c r="E48" s="607">
        <f t="shared" si="10"/>
        <v>3.0000000000000001E-3</v>
      </c>
      <c r="F48" s="607">
        <f t="shared" si="10"/>
        <v>0</v>
      </c>
      <c r="G48" s="607">
        <f t="shared" si="10"/>
        <v>48.284352000000005</v>
      </c>
      <c r="H48" s="607">
        <f t="shared" si="10"/>
        <v>23.65803</v>
      </c>
      <c r="I48" s="607">
        <f t="shared" si="10"/>
        <v>50.876795999999999</v>
      </c>
      <c r="J48" s="607">
        <f t="shared" si="10"/>
        <v>0.75</v>
      </c>
      <c r="K48" s="607">
        <f t="shared" si="10"/>
        <v>0</v>
      </c>
      <c r="L48" s="607">
        <f t="shared" si="10"/>
        <v>0.17549999999999999</v>
      </c>
      <c r="M48" s="607">
        <f t="shared" si="10"/>
        <v>14.687430000000001</v>
      </c>
      <c r="N48" s="607">
        <f t="shared" si="10"/>
        <v>18.227148</v>
      </c>
      <c r="O48" s="607">
        <f t="shared" si="10"/>
        <v>18.227148</v>
      </c>
      <c r="P48" s="607">
        <f t="shared" si="10"/>
        <v>0.44130000000000003</v>
      </c>
      <c r="Q48" s="607">
        <f t="shared" si="10"/>
        <v>0.63300000000000001</v>
      </c>
      <c r="R48" s="607">
        <f t="shared" si="10"/>
        <v>0</v>
      </c>
      <c r="S48" s="607">
        <f t="shared" si="10"/>
        <v>0</v>
      </c>
      <c r="T48" s="607">
        <f t="shared" si="10"/>
        <v>0</v>
      </c>
      <c r="U48" s="607">
        <f t="shared" si="10"/>
        <v>0</v>
      </c>
      <c r="V48" s="607">
        <f t="shared" si="10"/>
        <v>0</v>
      </c>
      <c r="W48" s="608">
        <f>SUM(C48:V48)</f>
        <v>362.66306400000002</v>
      </c>
    </row>
    <row r="49" spans="1:23" s="328" customFormat="1" ht="18" hidden="1" customHeight="1">
      <c r="A49" s="332"/>
      <c r="B49" s="333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62"/>
    </row>
    <row r="50" spans="1:23" s="19" customFormat="1" ht="18" hidden="1" customHeight="1">
      <c r="A50" s="1578" t="s">
        <v>895</v>
      </c>
      <c r="B50" s="15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</row>
    <row r="51" spans="1:23" s="19" customFormat="1" ht="30.75" hidden="1" customHeight="1">
      <c r="A51" s="1578" t="s">
        <v>324</v>
      </c>
      <c r="B51" s="15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</row>
    <row r="52" spans="1:23" s="328" customFormat="1" ht="18" hidden="1" customHeight="1">
      <c r="A52" s="1584" t="s">
        <v>325</v>
      </c>
      <c r="B52" s="1585"/>
      <c r="C52" s="1585"/>
      <c r="D52" s="1585"/>
      <c r="E52" s="1585"/>
      <c r="F52" s="1585"/>
      <c r="G52" s="1585"/>
      <c r="H52" s="1585"/>
      <c r="I52" s="1585"/>
      <c r="J52" s="1585"/>
      <c r="K52" s="1585"/>
      <c r="L52" s="1585"/>
      <c r="M52" s="1585"/>
      <c r="N52" s="1585"/>
      <c r="O52" s="1585"/>
      <c r="P52" s="1585"/>
      <c r="Q52" s="1585"/>
      <c r="R52" s="1585"/>
      <c r="S52" s="1585"/>
      <c r="T52" s="1585"/>
      <c r="U52" s="1585"/>
      <c r="V52" s="1585"/>
      <c r="W52" s="1586"/>
    </row>
    <row r="53" spans="1:23" s="328" customFormat="1" ht="18" hidden="1" customHeight="1">
      <c r="A53" s="335"/>
      <c r="B53" s="336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65"/>
    </row>
    <row r="54" spans="1:23" s="328" customFormat="1" ht="18" hidden="1" customHeight="1">
      <c r="A54" s="329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62"/>
    </row>
    <row r="55" spans="1:23" s="328" customFormat="1" ht="18" hidden="1" customHeight="1">
      <c r="A55" s="329"/>
      <c r="B55" s="330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62"/>
    </row>
    <row r="56" spans="1:23" s="19" customFormat="1" ht="35.25" hidden="1" customHeight="1">
      <c r="A56" s="1578" t="s">
        <v>894</v>
      </c>
      <c r="B56" s="15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</row>
    <row r="57" spans="1:23" s="328" customFormat="1" ht="18" hidden="1" customHeight="1">
      <c r="A57" s="329"/>
      <c r="B57" s="330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62"/>
    </row>
    <row r="58" spans="1:23" s="328" customFormat="1" ht="18" hidden="1" customHeight="1">
      <c r="A58" s="329"/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62"/>
    </row>
    <row r="59" spans="1:23" s="328" customFormat="1" ht="18" hidden="1" customHeight="1">
      <c r="A59" s="329"/>
      <c r="B59" s="330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62"/>
    </row>
    <row r="60" spans="1:23" s="19" customFormat="1" ht="18" hidden="1" customHeight="1">
      <c r="A60" s="1578" t="s">
        <v>895</v>
      </c>
      <c r="B60" s="15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4"/>
    </row>
    <row r="61" spans="1:23" s="19" customFormat="1" ht="18" hidden="1" customHeight="1">
      <c r="A61" s="1578" t="s">
        <v>324</v>
      </c>
      <c r="B61" s="15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4"/>
    </row>
    <row r="62" spans="1:23" s="328" customFormat="1" ht="18" hidden="1" customHeight="1">
      <c r="A62" s="1584" t="s">
        <v>326</v>
      </c>
      <c r="B62" s="1585"/>
      <c r="C62" s="1585"/>
      <c r="D62" s="1585"/>
      <c r="E62" s="1585"/>
      <c r="F62" s="1585"/>
      <c r="G62" s="1585"/>
      <c r="H62" s="1585"/>
      <c r="I62" s="1585"/>
      <c r="J62" s="1585"/>
      <c r="K62" s="1585"/>
      <c r="L62" s="1585"/>
      <c r="M62" s="1585"/>
      <c r="N62" s="1585"/>
      <c r="O62" s="1585"/>
      <c r="P62" s="1585"/>
      <c r="Q62" s="1585"/>
      <c r="R62" s="1585"/>
      <c r="S62" s="1585"/>
      <c r="T62" s="1585"/>
      <c r="U62" s="1585"/>
      <c r="V62" s="1585"/>
      <c r="W62" s="1586"/>
    </row>
    <row r="63" spans="1:23" s="328" customFormat="1" ht="18" hidden="1" customHeight="1">
      <c r="A63" s="335"/>
      <c r="B63" s="336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65"/>
    </row>
    <row r="64" spans="1:23" s="328" customFormat="1" ht="18" hidden="1" customHeight="1">
      <c r="A64" s="329"/>
      <c r="B64" s="330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62"/>
    </row>
    <row r="65" spans="1:23" s="328" customFormat="1" ht="18" hidden="1" customHeight="1">
      <c r="A65" s="329"/>
      <c r="B65" s="330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62"/>
    </row>
    <row r="66" spans="1:23" s="19" customFormat="1" ht="18" hidden="1" customHeight="1">
      <c r="A66" s="1578" t="s">
        <v>894</v>
      </c>
      <c r="B66" s="157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</row>
    <row r="67" spans="1:23" s="328" customFormat="1" ht="4.5" hidden="1" customHeight="1">
      <c r="A67" s="329"/>
      <c r="B67" s="330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62"/>
    </row>
    <row r="68" spans="1:23" s="328" customFormat="1" ht="18" hidden="1" customHeight="1">
      <c r="A68" s="329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62"/>
    </row>
    <row r="69" spans="1:23" s="328" customFormat="1" ht="18" hidden="1" customHeight="1">
      <c r="A69" s="329"/>
      <c r="B69" s="330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62"/>
    </row>
    <row r="70" spans="1:23" s="19" customFormat="1" ht="18" hidden="1" customHeight="1">
      <c r="A70" s="1578" t="s">
        <v>895</v>
      </c>
      <c r="B70" s="1579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</row>
    <row r="71" spans="1:23" s="19" customFormat="1" ht="18" hidden="1" customHeight="1">
      <c r="A71" s="1578" t="s">
        <v>324</v>
      </c>
      <c r="B71" s="1579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</row>
    <row r="72" spans="1:23" s="328" customFormat="1" ht="18" hidden="1" customHeight="1">
      <c r="A72" s="1584" t="s">
        <v>327</v>
      </c>
      <c r="B72" s="1585"/>
      <c r="C72" s="1585"/>
      <c r="D72" s="1585"/>
      <c r="E72" s="1585"/>
      <c r="F72" s="1585"/>
      <c r="G72" s="1585"/>
      <c r="H72" s="1585"/>
      <c r="I72" s="1585"/>
      <c r="J72" s="1585"/>
      <c r="K72" s="1585"/>
      <c r="L72" s="1585"/>
      <c r="M72" s="1585"/>
      <c r="N72" s="1585"/>
      <c r="O72" s="1585"/>
      <c r="P72" s="1585"/>
      <c r="Q72" s="1585"/>
      <c r="R72" s="1585"/>
      <c r="S72" s="1585"/>
      <c r="T72" s="1585"/>
      <c r="U72" s="1585"/>
      <c r="V72" s="1585"/>
      <c r="W72" s="1586"/>
    </row>
    <row r="73" spans="1:23" s="328" customFormat="1" ht="18" hidden="1" customHeight="1">
      <c r="A73" s="335"/>
      <c r="B73" s="336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65"/>
    </row>
    <row r="74" spans="1:23" s="328" customFormat="1" ht="18" hidden="1" customHeight="1">
      <c r="A74" s="329"/>
      <c r="B74" s="330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62"/>
    </row>
    <row r="75" spans="1:23" s="328" customFormat="1" ht="18" hidden="1" customHeight="1">
      <c r="A75" s="329"/>
      <c r="B75" s="330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62"/>
    </row>
    <row r="76" spans="1:23" s="19" customFormat="1" ht="18" hidden="1" customHeight="1">
      <c r="A76" s="1578" t="s">
        <v>894</v>
      </c>
      <c r="B76" s="1579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</row>
    <row r="77" spans="1:23" s="328" customFormat="1" ht="18" hidden="1" customHeight="1">
      <c r="A77" s="329"/>
      <c r="B77" s="330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62"/>
    </row>
    <row r="78" spans="1:23" s="328" customFormat="1" ht="18" hidden="1" customHeight="1">
      <c r="A78" s="329"/>
      <c r="B78" s="330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62"/>
    </row>
    <row r="79" spans="1:23" s="328" customFormat="1" ht="2.25" hidden="1" customHeight="1">
      <c r="A79" s="329"/>
      <c r="B79" s="330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62"/>
    </row>
    <row r="80" spans="1:23" s="19" customFormat="1" ht="18" hidden="1" customHeight="1">
      <c r="A80" s="1578" t="s">
        <v>895</v>
      </c>
      <c r="B80" s="1579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</row>
    <row r="81" spans="1:23" s="19" customFormat="1" ht="18" hidden="1" customHeight="1">
      <c r="A81" s="1578" t="s">
        <v>324</v>
      </c>
      <c r="B81" s="1579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</row>
    <row r="82" spans="1:23" s="328" customFormat="1" ht="18" hidden="1" customHeight="1">
      <c r="A82" s="1584" t="s">
        <v>328</v>
      </c>
      <c r="B82" s="1585"/>
      <c r="C82" s="1585"/>
      <c r="D82" s="1585"/>
      <c r="E82" s="1585"/>
      <c r="F82" s="1585"/>
      <c r="G82" s="1585"/>
      <c r="H82" s="1585"/>
      <c r="I82" s="1585"/>
      <c r="J82" s="1585"/>
      <c r="K82" s="1585"/>
      <c r="L82" s="1585"/>
      <c r="M82" s="1585"/>
      <c r="N82" s="1585"/>
      <c r="O82" s="1585"/>
      <c r="P82" s="1585"/>
      <c r="Q82" s="1585"/>
      <c r="R82" s="1585"/>
      <c r="S82" s="1585"/>
      <c r="T82" s="1585"/>
      <c r="U82" s="1585"/>
      <c r="V82" s="1585"/>
      <c r="W82" s="1586"/>
    </row>
    <row r="83" spans="1:23" s="328" customFormat="1" ht="18" hidden="1" customHeight="1">
      <c r="A83" s="335"/>
      <c r="B83" s="336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65"/>
    </row>
    <row r="84" spans="1:23" s="328" customFormat="1" ht="18" hidden="1" customHeight="1">
      <c r="A84" s="329"/>
      <c r="B84" s="330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62"/>
    </row>
    <row r="85" spans="1:23" s="328" customFormat="1" ht="18" hidden="1" customHeight="1">
      <c r="A85" s="329"/>
      <c r="B85" s="330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62"/>
    </row>
    <row r="86" spans="1:23" s="19" customFormat="1" ht="18" hidden="1" customHeight="1">
      <c r="A86" s="1578" t="s">
        <v>894</v>
      </c>
      <c r="B86" s="157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</row>
    <row r="87" spans="1:23" s="328" customFormat="1" ht="18" hidden="1" customHeight="1">
      <c r="A87" s="329"/>
      <c r="B87" s="330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62"/>
    </row>
    <row r="88" spans="1:23" s="328" customFormat="1" ht="18" hidden="1" customHeight="1">
      <c r="A88" s="329"/>
      <c r="B88" s="330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62"/>
    </row>
    <row r="89" spans="1:23" s="328" customFormat="1" ht="18" hidden="1" customHeight="1">
      <c r="A89" s="329"/>
      <c r="B89" s="330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62"/>
    </row>
    <row r="90" spans="1:23" s="19" customFormat="1" ht="18" hidden="1" customHeight="1">
      <c r="A90" s="1578" t="s">
        <v>895</v>
      </c>
      <c r="B90" s="157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</row>
    <row r="91" spans="1:23" s="19" customFormat="1" ht="18" hidden="1" customHeight="1">
      <c r="A91" s="1578" t="s">
        <v>324</v>
      </c>
      <c r="B91" s="157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</row>
    <row r="92" spans="1:23" s="19" customFormat="1" ht="18" customHeight="1">
      <c r="A92" s="1580" t="s">
        <v>329</v>
      </c>
      <c r="B92" s="1581"/>
      <c r="C92" s="622">
        <f>SUM(C46:C48)</f>
        <v>1083.0860400000001</v>
      </c>
      <c r="D92" s="622">
        <f t="shared" ref="D92:W92" si="11">SUM(D46:D48)</f>
        <v>3.0782999999999996</v>
      </c>
      <c r="E92" s="622">
        <f t="shared" si="11"/>
        <v>2.7556500000000002</v>
      </c>
      <c r="F92" s="622">
        <f t="shared" si="11"/>
        <v>33.228000000000002</v>
      </c>
      <c r="G92" s="622">
        <f t="shared" si="11"/>
        <v>206.68204200000002</v>
      </c>
      <c r="H92" s="622">
        <f t="shared" si="11"/>
        <v>91.961777999999995</v>
      </c>
      <c r="I92" s="622">
        <f t="shared" si="11"/>
        <v>200.83509600000002</v>
      </c>
      <c r="J92" s="622">
        <f t="shared" si="11"/>
        <v>37.709999999999994</v>
      </c>
      <c r="K92" s="622">
        <f t="shared" si="11"/>
        <v>3.5134799999999995</v>
      </c>
      <c r="L92" s="622">
        <f t="shared" si="11"/>
        <v>0.75600000000000001</v>
      </c>
      <c r="M92" s="622">
        <f t="shared" si="11"/>
        <v>84.704958000000005</v>
      </c>
      <c r="N92" s="623">
        <f t="shared" si="11"/>
        <v>105.16693799999999</v>
      </c>
      <c r="O92" s="622">
        <f t="shared" si="11"/>
        <v>105.16693799999999</v>
      </c>
      <c r="P92" s="622">
        <f t="shared" si="11"/>
        <v>0.44130000000000003</v>
      </c>
      <c r="Q92" s="622">
        <f t="shared" si="11"/>
        <v>4.3344000000000005</v>
      </c>
      <c r="R92" s="622">
        <f t="shared" si="11"/>
        <v>0</v>
      </c>
      <c r="S92" s="622">
        <f t="shared" si="11"/>
        <v>0</v>
      </c>
      <c r="T92" s="622">
        <f t="shared" si="11"/>
        <v>0</v>
      </c>
      <c r="U92" s="622">
        <f t="shared" si="11"/>
        <v>0</v>
      </c>
      <c r="V92" s="622">
        <f t="shared" si="11"/>
        <v>8.2079999999999984</v>
      </c>
      <c r="W92" s="622">
        <f t="shared" si="11"/>
        <v>1971.6289199999994</v>
      </c>
    </row>
    <row r="93" spans="1:23" ht="30" customHeight="1">
      <c r="A93" s="1582" t="s">
        <v>330</v>
      </c>
      <c r="B93" s="1583"/>
      <c r="C93" s="1583"/>
      <c r="D93" s="1583"/>
      <c r="E93" s="1583"/>
      <c r="F93" s="1583"/>
      <c r="G93" s="1583"/>
      <c r="H93" s="1583"/>
      <c r="I93" s="1583"/>
      <c r="J93" s="1583"/>
      <c r="K93" s="1583"/>
      <c r="L93" s="1583"/>
      <c r="M93" s="1583"/>
      <c r="N93" s="1583"/>
      <c r="O93" s="1583"/>
      <c r="P93" s="1583"/>
      <c r="Q93" s="1583"/>
      <c r="R93" s="1583"/>
      <c r="S93" s="1583"/>
      <c r="T93" s="1583"/>
      <c r="U93" s="1583"/>
      <c r="V93" s="1583"/>
      <c r="W93" s="1583"/>
    </row>
    <row r="94" spans="1:23">
      <c r="A94" s="33"/>
      <c r="B94" s="33"/>
      <c r="C94" s="34" t="s">
        <v>1322</v>
      </c>
      <c r="D94" s="34"/>
      <c r="E94" s="34"/>
      <c r="F94" s="34"/>
      <c r="G94" s="782">
        <f>+W92-132.105</f>
        <v>1839.5239199999994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1"/>
    </row>
    <row r="95" spans="1:23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1"/>
    </row>
    <row r="96" spans="1:23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624">
        <f>SUM(W92/12)</f>
        <v>164.30240999999995</v>
      </c>
    </row>
    <row r="97" spans="1:23">
      <c r="A97" s="33"/>
      <c r="B97" s="33"/>
      <c r="C97" s="783" t="s">
        <v>1323</v>
      </c>
      <c r="D97" s="1601"/>
      <c r="E97" s="1602"/>
      <c r="F97" s="160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1"/>
    </row>
    <row r="98" spans="1:23">
      <c r="A98" s="33"/>
      <c r="B98" s="33"/>
      <c r="C98" s="783" t="s">
        <v>1324</v>
      </c>
      <c r="D98" s="783"/>
      <c r="E98" s="1592">
        <v>21995496</v>
      </c>
      <c r="F98" s="1592"/>
      <c r="G98" s="782">
        <f>SUM(E98+E99)/1000000</f>
        <v>22.94229</v>
      </c>
      <c r="H98" s="785">
        <f>+W46-G46+G98</f>
        <v>562.90710599999977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625">
        <f>+W92-1971.629</f>
        <v>-8.0000000480140443E-5</v>
      </c>
    </row>
    <row r="99" spans="1:23">
      <c r="C99" s="784" t="s">
        <v>1286</v>
      </c>
      <c r="D99" s="784"/>
      <c r="E99" s="1592">
        <v>946794</v>
      </c>
      <c r="F99" s="1592"/>
      <c r="G99" s="787"/>
    </row>
    <row r="100" spans="1:23">
      <c r="C100" s="784" t="s">
        <v>1325</v>
      </c>
      <c r="D100" s="784"/>
      <c r="E100" s="1592">
        <f>888012+564678+3720756+1780032+1586646+605184+1682868</f>
        <v>10828176</v>
      </c>
      <c r="F100" s="1592"/>
      <c r="G100" s="787">
        <f>+E100/1000000</f>
        <v>10.828175999999999</v>
      </c>
      <c r="H100" s="786">
        <f>+W48-G48+G100</f>
        <v>325.20688799999999</v>
      </c>
    </row>
    <row r="101" spans="1:23">
      <c r="C101" s="784" t="s">
        <v>1286</v>
      </c>
      <c r="D101" s="784"/>
      <c r="E101" s="1592">
        <f>2350692+3603060+11040432+6054486+7206768+1892652+8658810</f>
        <v>40806900</v>
      </c>
      <c r="F101" s="1592"/>
      <c r="G101" s="787">
        <f>+E101/1000000</f>
        <v>40.806899999999999</v>
      </c>
      <c r="H101" s="786">
        <f>+W47-G47+G101</f>
        <v>951.41024999999968</v>
      </c>
    </row>
    <row r="102" spans="1:23">
      <c r="C102" s="784"/>
      <c r="D102" s="784"/>
      <c r="E102" s="1592">
        <f>SUM(E98:F101)</f>
        <v>74577366</v>
      </c>
      <c r="F102" s="1592"/>
      <c r="G102" s="787">
        <f>+E102/1000000</f>
        <v>74.577365999999998</v>
      </c>
      <c r="H102" s="787">
        <f>SUM(H98:H101)</f>
        <v>1839.5242439999995</v>
      </c>
    </row>
  </sheetData>
  <mergeCells count="46">
    <mergeCell ref="D97:F97"/>
    <mergeCell ref="E98:F98"/>
    <mergeCell ref="E99:F99"/>
    <mergeCell ref="E100:F100"/>
    <mergeCell ref="E101:F101"/>
    <mergeCell ref="E102:F102"/>
    <mergeCell ref="A16:B16"/>
    <mergeCell ref="U1:W1"/>
    <mergeCell ref="A2:W2"/>
    <mergeCell ref="A4:W4"/>
    <mergeCell ref="V5:W5"/>
    <mergeCell ref="A11:W11"/>
    <mergeCell ref="A41:W41"/>
    <mergeCell ref="A17:W17"/>
    <mergeCell ref="A21:W21"/>
    <mergeCell ref="A24:B24"/>
    <mergeCell ref="A25:W25"/>
    <mergeCell ref="A28:B28"/>
    <mergeCell ref="A29:W29"/>
    <mergeCell ref="A32:B32"/>
    <mergeCell ref="A33:W33"/>
    <mergeCell ref="A36:B36"/>
    <mergeCell ref="A37:W37"/>
    <mergeCell ref="A40:B40"/>
    <mergeCell ref="A71:B71"/>
    <mergeCell ref="A44:B44"/>
    <mergeCell ref="A45:B45"/>
    <mergeCell ref="A50:B50"/>
    <mergeCell ref="A51:B51"/>
    <mergeCell ref="A52:W52"/>
    <mergeCell ref="A56:B56"/>
    <mergeCell ref="A60:B60"/>
    <mergeCell ref="A61:B61"/>
    <mergeCell ref="A62:W62"/>
    <mergeCell ref="A66:B66"/>
    <mergeCell ref="A70:B70"/>
    <mergeCell ref="A90:B90"/>
    <mergeCell ref="A91:B91"/>
    <mergeCell ref="A92:B92"/>
    <mergeCell ref="A93:W93"/>
    <mergeCell ref="A72:W72"/>
    <mergeCell ref="A76:B76"/>
    <mergeCell ref="A80:B80"/>
    <mergeCell ref="A81:B81"/>
    <mergeCell ref="A82:W82"/>
    <mergeCell ref="A86:B86"/>
  </mergeCells>
  <printOptions horizontalCentered="1"/>
  <pageMargins left="0.28999999999999998" right="0.25" top="0.75" bottom="0.25" header="0.5" footer="0.5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Y60"/>
  <sheetViews>
    <sheetView view="pageBreakPreview" zoomScale="98" zoomScaleNormal="75" zoomScaleSheetLayoutView="98" workbookViewId="0">
      <selection activeCell="J13" sqref="J13"/>
    </sheetView>
  </sheetViews>
  <sheetFormatPr defaultRowHeight="12.75"/>
  <cols>
    <col min="1" max="1" width="4.7109375" style="66" customWidth="1"/>
    <col min="2" max="2" width="16.28515625" style="66" customWidth="1"/>
    <col min="3" max="3" width="16.28515625" style="1" bestFit="1" customWidth="1"/>
    <col min="4" max="5" width="7.28515625" style="1" bestFit="1" customWidth="1"/>
    <col min="6" max="6" width="8.140625" style="1" bestFit="1" customWidth="1"/>
    <col min="7" max="7" width="8.85546875" style="1" bestFit="1" customWidth="1"/>
    <col min="8" max="8" width="10.42578125" style="1" bestFit="1" customWidth="1"/>
    <col min="9" max="9" width="8.85546875" style="1" bestFit="1" customWidth="1"/>
    <col min="10" max="10" width="9.5703125" style="1" bestFit="1" customWidth="1"/>
    <col min="11" max="11" width="9.42578125" style="1" bestFit="1" customWidth="1"/>
    <col min="12" max="12" width="9.140625" style="1" customWidth="1"/>
    <col min="13" max="13" width="7.7109375" style="1" customWidth="1"/>
    <col min="14" max="15" width="8.85546875" style="1" bestFit="1" customWidth="1"/>
    <col min="16" max="16" width="7.42578125" style="1" customWidth="1"/>
    <col min="17" max="17" width="6.85546875" style="1" bestFit="1" customWidth="1"/>
    <col min="18" max="18" width="7.7109375" style="1" bestFit="1" customWidth="1"/>
    <col min="19" max="20" width="6.140625" style="1" bestFit="1" customWidth="1"/>
    <col min="21" max="22" width="7.28515625" style="1" bestFit="1" customWidth="1"/>
    <col min="23" max="23" width="10.42578125" style="633" bestFit="1" customWidth="1"/>
    <col min="24" max="255" width="9.140625" style="1"/>
    <col min="256" max="256" width="4.7109375" style="1" customWidth="1"/>
    <col min="257" max="257" width="16.28515625" style="1" customWidth="1"/>
    <col min="258" max="258" width="9.7109375" style="1" customWidth="1"/>
    <col min="259" max="260" width="5.5703125" style="1" bestFit="1" customWidth="1"/>
    <col min="261" max="261" width="6.5703125" style="1" bestFit="1" customWidth="1"/>
    <col min="262" max="262" width="6.85546875" style="1" bestFit="1" customWidth="1"/>
    <col min="263" max="263" width="7.140625" style="1" bestFit="1" customWidth="1"/>
    <col min="264" max="264" width="7" style="1" bestFit="1" customWidth="1"/>
    <col min="265" max="265" width="9" style="1" bestFit="1" customWidth="1"/>
    <col min="266" max="266" width="8.85546875" style="1" bestFit="1" customWidth="1"/>
    <col min="267" max="267" width="8" style="1" bestFit="1" customWidth="1"/>
    <col min="268" max="269" width="5.85546875" style="1" customWidth="1"/>
    <col min="270" max="271" width="7.5703125" style="1" customWidth="1"/>
    <col min="272" max="272" width="7.42578125" style="1" customWidth="1"/>
    <col min="273" max="273" width="6.28515625" style="1" bestFit="1" customWidth="1"/>
    <col min="274" max="274" width="7.140625" style="1" bestFit="1" customWidth="1"/>
    <col min="275" max="276" width="5.5703125" style="1" bestFit="1" customWidth="1"/>
    <col min="277" max="278" width="6.28515625" style="1" customWidth="1"/>
    <col min="279" max="279" width="7.7109375" style="1" customWidth="1"/>
    <col min="280" max="511" width="9.140625" style="1"/>
    <col min="512" max="512" width="4.7109375" style="1" customWidth="1"/>
    <col min="513" max="513" width="16.28515625" style="1" customWidth="1"/>
    <col min="514" max="514" width="9.7109375" style="1" customWidth="1"/>
    <col min="515" max="516" width="5.5703125" style="1" bestFit="1" customWidth="1"/>
    <col min="517" max="517" width="6.5703125" style="1" bestFit="1" customWidth="1"/>
    <col min="518" max="518" width="6.85546875" style="1" bestFit="1" customWidth="1"/>
    <col min="519" max="519" width="7.140625" style="1" bestFit="1" customWidth="1"/>
    <col min="520" max="520" width="7" style="1" bestFit="1" customWidth="1"/>
    <col min="521" max="521" width="9" style="1" bestFit="1" customWidth="1"/>
    <col min="522" max="522" width="8.85546875" style="1" bestFit="1" customWidth="1"/>
    <col min="523" max="523" width="8" style="1" bestFit="1" customWidth="1"/>
    <col min="524" max="525" width="5.85546875" style="1" customWidth="1"/>
    <col min="526" max="527" width="7.5703125" style="1" customWidth="1"/>
    <col min="528" max="528" width="7.42578125" style="1" customWidth="1"/>
    <col min="529" max="529" width="6.28515625" style="1" bestFit="1" customWidth="1"/>
    <col min="530" max="530" width="7.140625" style="1" bestFit="1" customWidth="1"/>
    <col min="531" max="532" width="5.5703125" style="1" bestFit="1" customWidth="1"/>
    <col min="533" max="534" width="6.28515625" style="1" customWidth="1"/>
    <col min="535" max="535" width="7.7109375" style="1" customWidth="1"/>
    <col min="536" max="767" width="9.140625" style="1"/>
    <col min="768" max="768" width="4.7109375" style="1" customWidth="1"/>
    <col min="769" max="769" width="16.28515625" style="1" customWidth="1"/>
    <col min="770" max="770" width="9.7109375" style="1" customWidth="1"/>
    <col min="771" max="772" width="5.5703125" style="1" bestFit="1" customWidth="1"/>
    <col min="773" max="773" width="6.5703125" style="1" bestFit="1" customWidth="1"/>
    <col min="774" max="774" width="6.85546875" style="1" bestFit="1" customWidth="1"/>
    <col min="775" max="775" width="7.140625" style="1" bestFit="1" customWidth="1"/>
    <col min="776" max="776" width="7" style="1" bestFit="1" customWidth="1"/>
    <col min="777" max="777" width="9" style="1" bestFit="1" customWidth="1"/>
    <col min="778" max="778" width="8.85546875" style="1" bestFit="1" customWidth="1"/>
    <col min="779" max="779" width="8" style="1" bestFit="1" customWidth="1"/>
    <col min="780" max="781" width="5.85546875" style="1" customWidth="1"/>
    <col min="782" max="783" width="7.5703125" style="1" customWidth="1"/>
    <col min="784" max="784" width="7.42578125" style="1" customWidth="1"/>
    <col min="785" max="785" width="6.28515625" style="1" bestFit="1" customWidth="1"/>
    <col min="786" max="786" width="7.140625" style="1" bestFit="1" customWidth="1"/>
    <col min="787" max="788" width="5.5703125" style="1" bestFit="1" customWidth="1"/>
    <col min="789" max="790" width="6.28515625" style="1" customWidth="1"/>
    <col min="791" max="791" width="7.7109375" style="1" customWidth="1"/>
    <col min="792" max="1023" width="9.140625" style="1"/>
    <col min="1024" max="1024" width="4.7109375" style="1" customWidth="1"/>
    <col min="1025" max="1025" width="16.28515625" style="1" customWidth="1"/>
    <col min="1026" max="1026" width="9.7109375" style="1" customWidth="1"/>
    <col min="1027" max="1028" width="5.5703125" style="1" bestFit="1" customWidth="1"/>
    <col min="1029" max="1029" width="6.5703125" style="1" bestFit="1" customWidth="1"/>
    <col min="1030" max="1030" width="6.85546875" style="1" bestFit="1" customWidth="1"/>
    <col min="1031" max="1031" width="7.140625" style="1" bestFit="1" customWidth="1"/>
    <col min="1032" max="1032" width="7" style="1" bestFit="1" customWidth="1"/>
    <col min="1033" max="1033" width="9" style="1" bestFit="1" customWidth="1"/>
    <col min="1034" max="1034" width="8.85546875" style="1" bestFit="1" customWidth="1"/>
    <col min="1035" max="1035" width="8" style="1" bestFit="1" customWidth="1"/>
    <col min="1036" max="1037" width="5.85546875" style="1" customWidth="1"/>
    <col min="1038" max="1039" width="7.5703125" style="1" customWidth="1"/>
    <col min="1040" max="1040" width="7.42578125" style="1" customWidth="1"/>
    <col min="1041" max="1041" width="6.28515625" style="1" bestFit="1" customWidth="1"/>
    <col min="1042" max="1042" width="7.140625" style="1" bestFit="1" customWidth="1"/>
    <col min="1043" max="1044" width="5.5703125" style="1" bestFit="1" customWidth="1"/>
    <col min="1045" max="1046" width="6.28515625" style="1" customWidth="1"/>
    <col min="1047" max="1047" width="7.7109375" style="1" customWidth="1"/>
    <col min="1048" max="1279" width="9.140625" style="1"/>
    <col min="1280" max="1280" width="4.7109375" style="1" customWidth="1"/>
    <col min="1281" max="1281" width="16.28515625" style="1" customWidth="1"/>
    <col min="1282" max="1282" width="9.7109375" style="1" customWidth="1"/>
    <col min="1283" max="1284" width="5.5703125" style="1" bestFit="1" customWidth="1"/>
    <col min="1285" max="1285" width="6.5703125" style="1" bestFit="1" customWidth="1"/>
    <col min="1286" max="1286" width="6.85546875" style="1" bestFit="1" customWidth="1"/>
    <col min="1287" max="1287" width="7.140625" style="1" bestFit="1" customWidth="1"/>
    <col min="1288" max="1288" width="7" style="1" bestFit="1" customWidth="1"/>
    <col min="1289" max="1289" width="9" style="1" bestFit="1" customWidth="1"/>
    <col min="1290" max="1290" width="8.85546875" style="1" bestFit="1" customWidth="1"/>
    <col min="1291" max="1291" width="8" style="1" bestFit="1" customWidth="1"/>
    <col min="1292" max="1293" width="5.85546875" style="1" customWidth="1"/>
    <col min="1294" max="1295" width="7.5703125" style="1" customWidth="1"/>
    <col min="1296" max="1296" width="7.42578125" style="1" customWidth="1"/>
    <col min="1297" max="1297" width="6.28515625" style="1" bestFit="1" customWidth="1"/>
    <col min="1298" max="1298" width="7.140625" style="1" bestFit="1" customWidth="1"/>
    <col min="1299" max="1300" width="5.5703125" style="1" bestFit="1" customWidth="1"/>
    <col min="1301" max="1302" width="6.28515625" style="1" customWidth="1"/>
    <col min="1303" max="1303" width="7.7109375" style="1" customWidth="1"/>
    <col min="1304" max="1535" width="9.140625" style="1"/>
    <col min="1536" max="1536" width="4.7109375" style="1" customWidth="1"/>
    <col min="1537" max="1537" width="16.28515625" style="1" customWidth="1"/>
    <col min="1538" max="1538" width="9.7109375" style="1" customWidth="1"/>
    <col min="1539" max="1540" width="5.5703125" style="1" bestFit="1" customWidth="1"/>
    <col min="1541" max="1541" width="6.5703125" style="1" bestFit="1" customWidth="1"/>
    <col min="1542" max="1542" width="6.85546875" style="1" bestFit="1" customWidth="1"/>
    <col min="1543" max="1543" width="7.140625" style="1" bestFit="1" customWidth="1"/>
    <col min="1544" max="1544" width="7" style="1" bestFit="1" customWidth="1"/>
    <col min="1545" max="1545" width="9" style="1" bestFit="1" customWidth="1"/>
    <col min="1546" max="1546" width="8.85546875" style="1" bestFit="1" customWidth="1"/>
    <col min="1547" max="1547" width="8" style="1" bestFit="1" customWidth="1"/>
    <col min="1548" max="1549" width="5.85546875" style="1" customWidth="1"/>
    <col min="1550" max="1551" width="7.5703125" style="1" customWidth="1"/>
    <col min="1552" max="1552" width="7.42578125" style="1" customWidth="1"/>
    <col min="1553" max="1553" width="6.28515625" style="1" bestFit="1" customWidth="1"/>
    <col min="1554" max="1554" width="7.140625" style="1" bestFit="1" customWidth="1"/>
    <col min="1555" max="1556" width="5.5703125" style="1" bestFit="1" customWidth="1"/>
    <col min="1557" max="1558" width="6.28515625" style="1" customWidth="1"/>
    <col min="1559" max="1559" width="7.7109375" style="1" customWidth="1"/>
    <col min="1560" max="1791" width="9.140625" style="1"/>
    <col min="1792" max="1792" width="4.7109375" style="1" customWidth="1"/>
    <col min="1793" max="1793" width="16.28515625" style="1" customWidth="1"/>
    <col min="1794" max="1794" width="9.7109375" style="1" customWidth="1"/>
    <col min="1795" max="1796" width="5.5703125" style="1" bestFit="1" customWidth="1"/>
    <col min="1797" max="1797" width="6.5703125" style="1" bestFit="1" customWidth="1"/>
    <col min="1798" max="1798" width="6.85546875" style="1" bestFit="1" customWidth="1"/>
    <col min="1799" max="1799" width="7.140625" style="1" bestFit="1" customWidth="1"/>
    <col min="1800" max="1800" width="7" style="1" bestFit="1" customWidth="1"/>
    <col min="1801" max="1801" width="9" style="1" bestFit="1" customWidth="1"/>
    <col min="1802" max="1802" width="8.85546875" style="1" bestFit="1" customWidth="1"/>
    <col min="1803" max="1803" width="8" style="1" bestFit="1" customWidth="1"/>
    <col min="1804" max="1805" width="5.85546875" style="1" customWidth="1"/>
    <col min="1806" max="1807" width="7.5703125" style="1" customWidth="1"/>
    <col min="1808" max="1808" width="7.42578125" style="1" customWidth="1"/>
    <col min="1809" max="1809" width="6.28515625" style="1" bestFit="1" customWidth="1"/>
    <col min="1810" max="1810" width="7.140625" style="1" bestFit="1" customWidth="1"/>
    <col min="1811" max="1812" width="5.5703125" style="1" bestFit="1" customWidth="1"/>
    <col min="1813" max="1814" width="6.28515625" style="1" customWidth="1"/>
    <col min="1815" max="1815" width="7.7109375" style="1" customWidth="1"/>
    <col min="1816" max="2047" width="9.140625" style="1"/>
    <col min="2048" max="2048" width="4.7109375" style="1" customWidth="1"/>
    <col min="2049" max="2049" width="16.28515625" style="1" customWidth="1"/>
    <col min="2050" max="2050" width="9.7109375" style="1" customWidth="1"/>
    <col min="2051" max="2052" width="5.5703125" style="1" bestFit="1" customWidth="1"/>
    <col min="2053" max="2053" width="6.5703125" style="1" bestFit="1" customWidth="1"/>
    <col min="2054" max="2054" width="6.85546875" style="1" bestFit="1" customWidth="1"/>
    <col min="2055" max="2055" width="7.140625" style="1" bestFit="1" customWidth="1"/>
    <col min="2056" max="2056" width="7" style="1" bestFit="1" customWidth="1"/>
    <col min="2057" max="2057" width="9" style="1" bestFit="1" customWidth="1"/>
    <col min="2058" max="2058" width="8.85546875" style="1" bestFit="1" customWidth="1"/>
    <col min="2059" max="2059" width="8" style="1" bestFit="1" customWidth="1"/>
    <col min="2060" max="2061" width="5.85546875" style="1" customWidth="1"/>
    <col min="2062" max="2063" width="7.5703125" style="1" customWidth="1"/>
    <col min="2064" max="2064" width="7.42578125" style="1" customWidth="1"/>
    <col min="2065" max="2065" width="6.28515625" style="1" bestFit="1" customWidth="1"/>
    <col min="2066" max="2066" width="7.140625" style="1" bestFit="1" customWidth="1"/>
    <col min="2067" max="2068" width="5.5703125" style="1" bestFit="1" customWidth="1"/>
    <col min="2069" max="2070" width="6.28515625" style="1" customWidth="1"/>
    <col min="2071" max="2071" width="7.7109375" style="1" customWidth="1"/>
    <col min="2072" max="2303" width="9.140625" style="1"/>
    <col min="2304" max="2304" width="4.7109375" style="1" customWidth="1"/>
    <col min="2305" max="2305" width="16.28515625" style="1" customWidth="1"/>
    <col min="2306" max="2306" width="9.7109375" style="1" customWidth="1"/>
    <col min="2307" max="2308" width="5.5703125" style="1" bestFit="1" customWidth="1"/>
    <col min="2309" max="2309" width="6.5703125" style="1" bestFit="1" customWidth="1"/>
    <col min="2310" max="2310" width="6.85546875" style="1" bestFit="1" customWidth="1"/>
    <col min="2311" max="2311" width="7.140625" style="1" bestFit="1" customWidth="1"/>
    <col min="2312" max="2312" width="7" style="1" bestFit="1" customWidth="1"/>
    <col min="2313" max="2313" width="9" style="1" bestFit="1" customWidth="1"/>
    <col min="2314" max="2314" width="8.85546875" style="1" bestFit="1" customWidth="1"/>
    <col min="2315" max="2315" width="8" style="1" bestFit="1" customWidth="1"/>
    <col min="2316" max="2317" width="5.85546875" style="1" customWidth="1"/>
    <col min="2318" max="2319" width="7.5703125" style="1" customWidth="1"/>
    <col min="2320" max="2320" width="7.42578125" style="1" customWidth="1"/>
    <col min="2321" max="2321" width="6.28515625" style="1" bestFit="1" customWidth="1"/>
    <col min="2322" max="2322" width="7.140625" style="1" bestFit="1" customWidth="1"/>
    <col min="2323" max="2324" width="5.5703125" style="1" bestFit="1" customWidth="1"/>
    <col min="2325" max="2326" width="6.28515625" style="1" customWidth="1"/>
    <col min="2327" max="2327" width="7.7109375" style="1" customWidth="1"/>
    <col min="2328" max="2559" width="9.140625" style="1"/>
    <col min="2560" max="2560" width="4.7109375" style="1" customWidth="1"/>
    <col min="2561" max="2561" width="16.28515625" style="1" customWidth="1"/>
    <col min="2562" max="2562" width="9.7109375" style="1" customWidth="1"/>
    <col min="2563" max="2564" width="5.5703125" style="1" bestFit="1" customWidth="1"/>
    <col min="2565" max="2565" width="6.5703125" style="1" bestFit="1" customWidth="1"/>
    <col min="2566" max="2566" width="6.85546875" style="1" bestFit="1" customWidth="1"/>
    <col min="2567" max="2567" width="7.140625" style="1" bestFit="1" customWidth="1"/>
    <col min="2568" max="2568" width="7" style="1" bestFit="1" customWidth="1"/>
    <col min="2569" max="2569" width="9" style="1" bestFit="1" customWidth="1"/>
    <col min="2570" max="2570" width="8.85546875" style="1" bestFit="1" customWidth="1"/>
    <col min="2571" max="2571" width="8" style="1" bestFit="1" customWidth="1"/>
    <col min="2572" max="2573" width="5.85546875" style="1" customWidth="1"/>
    <col min="2574" max="2575" width="7.5703125" style="1" customWidth="1"/>
    <col min="2576" max="2576" width="7.42578125" style="1" customWidth="1"/>
    <col min="2577" max="2577" width="6.28515625" style="1" bestFit="1" customWidth="1"/>
    <col min="2578" max="2578" width="7.140625" style="1" bestFit="1" customWidth="1"/>
    <col min="2579" max="2580" width="5.5703125" style="1" bestFit="1" customWidth="1"/>
    <col min="2581" max="2582" width="6.28515625" style="1" customWidth="1"/>
    <col min="2583" max="2583" width="7.7109375" style="1" customWidth="1"/>
    <col min="2584" max="2815" width="9.140625" style="1"/>
    <col min="2816" max="2816" width="4.7109375" style="1" customWidth="1"/>
    <col min="2817" max="2817" width="16.28515625" style="1" customWidth="1"/>
    <col min="2818" max="2818" width="9.7109375" style="1" customWidth="1"/>
    <col min="2819" max="2820" width="5.5703125" style="1" bestFit="1" customWidth="1"/>
    <col min="2821" max="2821" width="6.5703125" style="1" bestFit="1" customWidth="1"/>
    <col min="2822" max="2822" width="6.85546875" style="1" bestFit="1" customWidth="1"/>
    <col min="2823" max="2823" width="7.140625" style="1" bestFit="1" customWidth="1"/>
    <col min="2824" max="2824" width="7" style="1" bestFit="1" customWidth="1"/>
    <col min="2825" max="2825" width="9" style="1" bestFit="1" customWidth="1"/>
    <col min="2826" max="2826" width="8.85546875" style="1" bestFit="1" customWidth="1"/>
    <col min="2827" max="2827" width="8" style="1" bestFit="1" customWidth="1"/>
    <col min="2828" max="2829" width="5.85546875" style="1" customWidth="1"/>
    <col min="2830" max="2831" width="7.5703125" style="1" customWidth="1"/>
    <col min="2832" max="2832" width="7.42578125" style="1" customWidth="1"/>
    <col min="2833" max="2833" width="6.28515625" style="1" bestFit="1" customWidth="1"/>
    <col min="2834" max="2834" width="7.140625" style="1" bestFit="1" customWidth="1"/>
    <col min="2835" max="2836" width="5.5703125" style="1" bestFit="1" customWidth="1"/>
    <col min="2837" max="2838" width="6.28515625" style="1" customWidth="1"/>
    <col min="2839" max="2839" width="7.7109375" style="1" customWidth="1"/>
    <col min="2840" max="3071" width="9.140625" style="1"/>
    <col min="3072" max="3072" width="4.7109375" style="1" customWidth="1"/>
    <col min="3073" max="3073" width="16.28515625" style="1" customWidth="1"/>
    <col min="3074" max="3074" width="9.7109375" style="1" customWidth="1"/>
    <col min="3075" max="3076" width="5.5703125" style="1" bestFit="1" customWidth="1"/>
    <col min="3077" max="3077" width="6.5703125" style="1" bestFit="1" customWidth="1"/>
    <col min="3078" max="3078" width="6.85546875" style="1" bestFit="1" customWidth="1"/>
    <col min="3079" max="3079" width="7.140625" style="1" bestFit="1" customWidth="1"/>
    <col min="3080" max="3080" width="7" style="1" bestFit="1" customWidth="1"/>
    <col min="3081" max="3081" width="9" style="1" bestFit="1" customWidth="1"/>
    <col min="3082" max="3082" width="8.85546875" style="1" bestFit="1" customWidth="1"/>
    <col min="3083" max="3083" width="8" style="1" bestFit="1" customWidth="1"/>
    <col min="3084" max="3085" width="5.85546875" style="1" customWidth="1"/>
    <col min="3086" max="3087" width="7.5703125" style="1" customWidth="1"/>
    <col min="3088" max="3088" width="7.42578125" style="1" customWidth="1"/>
    <col min="3089" max="3089" width="6.28515625" style="1" bestFit="1" customWidth="1"/>
    <col min="3090" max="3090" width="7.140625" style="1" bestFit="1" customWidth="1"/>
    <col min="3091" max="3092" width="5.5703125" style="1" bestFit="1" customWidth="1"/>
    <col min="3093" max="3094" width="6.28515625" style="1" customWidth="1"/>
    <col min="3095" max="3095" width="7.7109375" style="1" customWidth="1"/>
    <col min="3096" max="3327" width="9.140625" style="1"/>
    <col min="3328" max="3328" width="4.7109375" style="1" customWidth="1"/>
    <col min="3329" max="3329" width="16.28515625" style="1" customWidth="1"/>
    <col min="3330" max="3330" width="9.7109375" style="1" customWidth="1"/>
    <col min="3331" max="3332" width="5.5703125" style="1" bestFit="1" customWidth="1"/>
    <col min="3333" max="3333" width="6.5703125" style="1" bestFit="1" customWidth="1"/>
    <col min="3334" max="3334" width="6.85546875" style="1" bestFit="1" customWidth="1"/>
    <col min="3335" max="3335" width="7.140625" style="1" bestFit="1" customWidth="1"/>
    <col min="3336" max="3336" width="7" style="1" bestFit="1" customWidth="1"/>
    <col min="3337" max="3337" width="9" style="1" bestFit="1" customWidth="1"/>
    <col min="3338" max="3338" width="8.85546875" style="1" bestFit="1" customWidth="1"/>
    <col min="3339" max="3339" width="8" style="1" bestFit="1" customWidth="1"/>
    <col min="3340" max="3341" width="5.85546875" style="1" customWidth="1"/>
    <col min="3342" max="3343" width="7.5703125" style="1" customWidth="1"/>
    <col min="3344" max="3344" width="7.42578125" style="1" customWidth="1"/>
    <col min="3345" max="3345" width="6.28515625" style="1" bestFit="1" customWidth="1"/>
    <col min="3346" max="3346" width="7.140625" style="1" bestFit="1" customWidth="1"/>
    <col min="3347" max="3348" width="5.5703125" style="1" bestFit="1" customWidth="1"/>
    <col min="3349" max="3350" width="6.28515625" style="1" customWidth="1"/>
    <col min="3351" max="3351" width="7.7109375" style="1" customWidth="1"/>
    <col min="3352" max="3583" width="9.140625" style="1"/>
    <col min="3584" max="3584" width="4.7109375" style="1" customWidth="1"/>
    <col min="3585" max="3585" width="16.28515625" style="1" customWidth="1"/>
    <col min="3586" max="3586" width="9.7109375" style="1" customWidth="1"/>
    <col min="3587" max="3588" width="5.5703125" style="1" bestFit="1" customWidth="1"/>
    <col min="3589" max="3589" width="6.5703125" style="1" bestFit="1" customWidth="1"/>
    <col min="3590" max="3590" width="6.85546875" style="1" bestFit="1" customWidth="1"/>
    <col min="3591" max="3591" width="7.140625" style="1" bestFit="1" customWidth="1"/>
    <col min="3592" max="3592" width="7" style="1" bestFit="1" customWidth="1"/>
    <col min="3593" max="3593" width="9" style="1" bestFit="1" customWidth="1"/>
    <col min="3594" max="3594" width="8.85546875" style="1" bestFit="1" customWidth="1"/>
    <col min="3595" max="3595" width="8" style="1" bestFit="1" customWidth="1"/>
    <col min="3596" max="3597" width="5.85546875" style="1" customWidth="1"/>
    <col min="3598" max="3599" width="7.5703125" style="1" customWidth="1"/>
    <col min="3600" max="3600" width="7.42578125" style="1" customWidth="1"/>
    <col min="3601" max="3601" width="6.28515625" style="1" bestFit="1" customWidth="1"/>
    <col min="3602" max="3602" width="7.140625" style="1" bestFit="1" customWidth="1"/>
    <col min="3603" max="3604" width="5.5703125" style="1" bestFit="1" customWidth="1"/>
    <col min="3605" max="3606" width="6.28515625" style="1" customWidth="1"/>
    <col min="3607" max="3607" width="7.7109375" style="1" customWidth="1"/>
    <col min="3608" max="3839" width="9.140625" style="1"/>
    <col min="3840" max="3840" width="4.7109375" style="1" customWidth="1"/>
    <col min="3841" max="3841" width="16.28515625" style="1" customWidth="1"/>
    <col min="3842" max="3842" width="9.7109375" style="1" customWidth="1"/>
    <col min="3843" max="3844" width="5.5703125" style="1" bestFit="1" customWidth="1"/>
    <col min="3845" max="3845" width="6.5703125" style="1" bestFit="1" customWidth="1"/>
    <col min="3846" max="3846" width="6.85546875" style="1" bestFit="1" customWidth="1"/>
    <col min="3847" max="3847" width="7.140625" style="1" bestFit="1" customWidth="1"/>
    <col min="3848" max="3848" width="7" style="1" bestFit="1" customWidth="1"/>
    <col min="3849" max="3849" width="9" style="1" bestFit="1" customWidth="1"/>
    <col min="3850" max="3850" width="8.85546875" style="1" bestFit="1" customWidth="1"/>
    <col min="3851" max="3851" width="8" style="1" bestFit="1" customWidth="1"/>
    <col min="3852" max="3853" width="5.85546875" style="1" customWidth="1"/>
    <col min="3854" max="3855" width="7.5703125" style="1" customWidth="1"/>
    <col min="3856" max="3856" width="7.42578125" style="1" customWidth="1"/>
    <col min="3857" max="3857" width="6.28515625" style="1" bestFit="1" customWidth="1"/>
    <col min="3858" max="3858" width="7.140625" style="1" bestFit="1" customWidth="1"/>
    <col min="3859" max="3860" width="5.5703125" style="1" bestFit="1" customWidth="1"/>
    <col min="3861" max="3862" width="6.28515625" style="1" customWidth="1"/>
    <col min="3863" max="3863" width="7.7109375" style="1" customWidth="1"/>
    <col min="3864" max="4095" width="9.140625" style="1"/>
    <col min="4096" max="4096" width="4.7109375" style="1" customWidth="1"/>
    <col min="4097" max="4097" width="16.28515625" style="1" customWidth="1"/>
    <col min="4098" max="4098" width="9.7109375" style="1" customWidth="1"/>
    <col min="4099" max="4100" width="5.5703125" style="1" bestFit="1" customWidth="1"/>
    <col min="4101" max="4101" width="6.5703125" style="1" bestFit="1" customWidth="1"/>
    <col min="4102" max="4102" width="6.85546875" style="1" bestFit="1" customWidth="1"/>
    <col min="4103" max="4103" width="7.140625" style="1" bestFit="1" customWidth="1"/>
    <col min="4104" max="4104" width="7" style="1" bestFit="1" customWidth="1"/>
    <col min="4105" max="4105" width="9" style="1" bestFit="1" customWidth="1"/>
    <col min="4106" max="4106" width="8.85546875" style="1" bestFit="1" customWidth="1"/>
    <col min="4107" max="4107" width="8" style="1" bestFit="1" customWidth="1"/>
    <col min="4108" max="4109" width="5.85546875" style="1" customWidth="1"/>
    <col min="4110" max="4111" width="7.5703125" style="1" customWidth="1"/>
    <col min="4112" max="4112" width="7.42578125" style="1" customWidth="1"/>
    <col min="4113" max="4113" width="6.28515625" style="1" bestFit="1" customWidth="1"/>
    <col min="4114" max="4114" width="7.140625" style="1" bestFit="1" customWidth="1"/>
    <col min="4115" max="4116" width="5.5703125" style="1" bestFit="1" customWidth="1"/>
    <col min="4117" max="4118" width="6.28515625" style="1" customWidth="1"/>
    <col min="4119" max="4119" width="7.7109375" style="1" customWidth="1"/>
    <col min="4120" max="4351" width="9.140625" style="1"/>
    <col min="4352" max="4352" width="4.7109375" style="1" customWidth="1"/>
    <col min="4353" max="4353" width="16.28515625" style="1" customWidth="1"/>
    <col min="4354" max="4354" width="9.7109375" style="1" customWidth="1"/>
    <col min="4355" max="4356" width="5.5703125" style="1" bestFit="1" customWidth="1"/>
    <col min="4357" max="4357" width="6.5703125" style="1" bestFit="1" customWidth="1"/>
    <col min="4358" max="4358" width="6.85546875" style="1" bestFit="1" customWidth="1"/>
    <col min="4359" max="4359" width="7.140625" style="1" bestFit="1" customWidth="1"/>
    <col min="4360" max="4360" width="7" style="1" bestFit="1" customWidth="1"/>
    <col min="4361" max="4361" width="9" style="1" bestFit="1" customWidth="1"/>
    <col min="4362" max="4362" width="8.85546875" style="1" bestFit="1" customWidth="1"/>
    <col min="4363" max="4363" width="8" style="1" bestFit="1" customWidth="1"/>
    <col min="4364" max="4365" width="5.85546875" style="1" customWidth="1"/>
    <col min="4366" max="4367" width="7.5703125" style="1" customWidth="1"/>
    <col min="4368" max="4368" width="7.42578125" style="1" customWidth="1"/>
    <col min="4369" max="4369" width="6.28515625" style="1" bestFit="1" customWidth="1"/>
    <col min="4370" max="4370" width="7.140625" style="1" bestFit="1" customWidth="1"/>
    <col min="4371" max="4372" width="5.5703125" style="1" bestFit="1" customWidth="1"/>
    <col min="4373" max="4374" width="6.28515625" style="1" customWidth="1"/>
    <col min="4375" max="4375" width="7.7109375" style="1" customWidth="1"/>
    <col min="4376" max="4607" width="9.140625" style="1"/>
    <col min="4608" max="4608" width="4.7109375" style="1" customWidth="1"/>
    <col min="4609" max="4609" width="16.28515625" style="1" customWidth="1"/>
    <col min="4610" max="4610" width="9.7109375" style="1" customWidth="1"/>
    <col min="4611" max="4612" width="5.5703125" style="1" bestFit="1" customWidth="1"/>
    <col min="4613" max="4613" width="6.5703125" style="1" bestFit="1" customWidth="1"/>
    <col min="4614" max="4614" width="6.85546875" style="1" bestFit="1" customWidth="1"/>
    <col min="4615" max="4615" width="7.140625" style="1" bestFit="1" customWidth="1"/>
    <col min="4616" max="4616" width="7" style="1" bestFit="1" customWidth="1"/>
    <col min="4617" max="4617" width="9" style="1" bestFit="1" customWidth="1"/>
    <col min="4618" max="4618" width="8.85546875" style="1" bestFit="1" customWidth="1"/>
    <col min="4619" max="4619" width="8" style="1" bestFit="1" customWidth="1"/>
    <col min="4620" max="4621" width="5.85546875" style="1" customWidth="1"/>
    <col min="4622" max="4623" width="7.5703125" style="1" customWidth="1"/>
    <col min="4624" max="4624" width="7.42578125" style="1" customWidth="1"/>
    <col min="4625" max="4625" width="6.28515625" style="1" bestFit="1" customWidth="1"/>
    <col min="4626" max="4626" width="7.140625" style="1" bestFit="1" customWidth="1"/>
    <col min="4627" max="4628" width="5.5703125" style="1" bestFit="1" customWidth="1"/>
    <col min="4629" max="4630" width="6.28515625" style="1" customWidth="1"/>
    <col min="4631" max="4631" width="7.7109375" style="1" customWidth="1"/>
    <col min="4632" max="4863" width="9.140625" style="1"/>
    <col min="4864" max="4864" width="4.7109375" style="1" customWidth="1"/>
    <col min="4865" max="4865" width="16.28515625" style="1" customWidth="1"/>
    <col min="4866" max="4866" width="9.7109375" style="1" customWidth="1"/>
    <col min="4867" max="4868" width="5.5703125" style="1" bestFit="1" customWidth="1"/>
    <col min="4869" max="4869" width="6.5703125" style="1" bestFit="1" customWidth="1"/>
    <col min="4870" max="4870" width="6.85546875" style="1" bestFit="1" customWidth="1"/>
    <col min="4871" max="4871" width="7.140625" style="1" bestFit="1" customWidth="1"/>
    <col min="4872" max="4872" width="7" style="1" bestFit="1" customWidth="1"/>
    <col min="4873" max="4873" width="9" style="1" bestFit="1" customWidth="1"/>
    <col min="4874" max="4874" width="8.85546875" style="1" bestFit="1" customWidth="1"/>
    <col min="4875" max="4875" width="8" style="1" bestFit="1" customWidth="1"/>
    <col min="4876" max="4877" width="5.85546875" style="1" customWidth="1"/>
    <col min="4878" max="4879" width="7.5703125" style="1" customWidth="1"/>
    <col min="4880" max="4880" width="7.42578125" style="1" customWidth="1"/>
    <col min="4881" max="4881" width="6.28515625" style="1" bestFit="1" customWidth="1"/>
    <col min="4882" max="4882" width="7.140625" style="1" bestFit="1" customWidth="1"/>
    <col min="4883" max="4884" width="5.5703125" style="1" bestFit="1" customWidth="1"/>
    <col min="4885" max="4886" width="6.28515625" style="1" customWidth="1"/>
    <col min="4887" max="4887" width="7.7109375" style="1" customWidth="1"/>
    <col min="4888" max="5119" width="9.140625" style="1"/>
    <col min="5120" max="5120" width="4.7109375" style="1" customWidth="1"/>
    <col min="5121" max="5121" width="16.28515625" style="1" customWidth="1"/>
    <col min="5122" max="5122" width="9.7109375" style="1" customWidth="1"/>
    <col min="5123" max="5124" width="5.5703125" style="1" bestFit="1" customWidth="1"/>
    <col min="5125" max="5125" width="6.5703125" style="1" bestFit="1" customWidth="1"/>
    <col min="5126" max="5126" width="6.85546875" style="1" bestFit="1" customWidth="1"/>
    <col min="5127" max="5127" width="7.140625" style="1" bestFit="1" customWidth="1"/>
    <col min="5128" max="5128" width="7" style="1" bestFit="1" customWidth="1"/>
    <col min="5129" max="5129" width="9" style="1" bestFit="1" customWidth="1"/>
    <col min="5130" max="5130" width="8.85546875" style="1" bestFit="1" customWidth="1"/>
    <col min="5131" max="5131" width="8" style="1" bestFit="1" customWidth="1"/>
    <col min="5132" max="5133" width="5.85546875" style="1" customWidth="1"/>
    <col min="5134" max="5135" width="7.5703125" style="1" customWidth="1"/>
    <col min="5136" max="5136" width="7.42578125" style="1" customWidth="1"/>
    <col min="5137" max="5137" width="6.28515625" style="1" bestFit="1" customWidth="1"/>
    <col min="5138" max="5138" width="7.140625" style="1" bestFit="1" customWidth="1"/>
    <col min="5139" max="5140" width="5.5703125" style="1" bestFit="1" customWidth="1"/>
    <col min="5141" max="5142" width="6.28515625" style="1" customWidth="1"/>
    <col min="5143" max="5143" width="7.7109375" style="1" customWidth="1"/>
    <col min="5144" max="5375" width="9.140625" style="1"/>
    <col min="5376" max="5376" width="4.7109375" style="1" customWidth="1"/>
    <col min="5377" max="5377" width="16.28515625" style="1" customWidth="1"/>
    <col min="5378" max="5378" width="9.7109375" style="1" customWidth="1"/>
    <col min="5379" max="5380" width="5.5703125" style="1" bestFit="1" customWidth="1"/>
    <col min="5381" max="5381" width="6.5703125" style="1" bestFit="1" customWidth="1"/>
    <col min="5382" max="5382" width="6.85546875" style="1" bestFit="1" customWidth="1"/>
    <col min="5383" max="5383" width="7.140625" style="1" bestFit="1" customWidth="1"/>
    <col min="5384" max="5384" width="7" style="1" bestFit="1" customWidth="1"/>
    <col min="5385" max="5385" width="9" style="1" bestFit="1" customWidth="1"/>
    <col min="5386" max="5386" width="8.85546875" style="1" bestFit="1" customWidth="1"/>
    <col min="5387" max="5387" width="8" style="1" bestFit="1" customWidth="1"/>
    <col min="5388" max="5389" width="5.85546875" style="1" customWidth="1"/>
    <col min="5390" max="5391" width="7.5703125" style="1" customWidth="1"/>
    <col min="5392" max="5392" width="7.42578125" style="1" customWidth="1"/>
    <col min="5393" max="5393" width="6.28515625" style="1" bestFit="1" customWidth="1"/>
    <col min="5394" max="5394" width="7.140625" style="1" bestFit="1" customWidth="1"/>
    <col min="5395" max="5396" width="5.5703125" style="1" bestFit="1" customWidth="1"/>
    <col min="5397" max="5398" width="6.28515625" style="1" customWidth="1"/>
    <col min="5399" max="5399" width="7.7109375" style="1" customWidth="1"/>
    <col min="5400" max="5631" width="9.140625" style="1"/>
    <col min="5632" max="5632" width="4.7109375" style="1" customWidth="1"/>
    <col min="5633" max="5633" width="16.28515625" style="1" customWidth="1"/>
    <col min="5634" max="5634" width="9.7109375" style="1" customWidth="1"/>
    <col min="5635" max="5636" width="5.5703125" style="1" bestFit="1" customWidth="1"/>
    <col min="5637" max="5637" width="6.5703125" style="1" bestFit="1" customWidth="1"/>
    <col min="5638" max="5638" width="6.85546875" style="1" bestFit="1" customWidth="1"/>
    <col min="5639" max="5639" width="7.140625" style="1" bestFit="1" customWidth="1"/>
    <col min="5640" max="5640" width="7" style="1" bestFit="1" customWidth="1"/>
    <col min="5641" max="5641" width="9" style="1" bestFit="1" customWidth="1"/>
    <col min="5642" max="5642" width="8.85546875" style="1" bestFit="1" customWidth="1"/>
    <col min="5643" max="5643" width="8" style="1" bestFit="1" customWidth="1"/>
    <col min="5644" max="5645" width="5.85546875" style="1" customWidth="1"/>
    <col min="5646" max="5647" width="7.5703125" style="1" customWidth="1"/>
    <col min="5648" max="5648" width="7.42578125" style="1" customWidth="1"/>
    <col min="5649" max="5649" width="6.28515625" style="1" bestFit="1" customWidth="1"/>
    <col min="5650" max="5650" width="7.140625" style="1" bestFit="1" customWidth="1"/>
    <col min="5651" max="5652" width="5.5703125" style="1" bestFit="1" customWidth="1"/>
    <col min="5653" max="5654" width="6.28515625" style="1" customWidth="1"/>
    <col min="5655" max="5655" width="7.7109375" style="1" customWidth="1"/>
    <col min="5656" max="5887" width="9.140625" style="1"/>
    <col min="5888" max="5888" width="4.7109375" style="1" customWidth="1"/>
    <col min="5889" max="5889" width="16.28515625" style="1" customWidth="1"/>
    <col min="5890" max="5890" width="9.7109375" style="1" customWidth="1"/>
    <col min="5891" max="5892" width="5.5703125" style="1" bestFit="1" customWidth="1"/>
    <col min="5893" max="5893" width="6.5703125" style="1" bestFit="1" customWidth="1"/>
    <col min="5894" max="5894" width="6.85546875" style="1" bestFit="1" customWidth="1"/>
    <col min="5895" max="5895" width="7.140625" style="1" bestFit="1" customWidth="1"/>
    <col min="5896" max="5896" width="7" style="1" bestFit="1" customWidth="1"/>
    <col min="5897" max="5897" width="9" style="1" bestFit="1" customWidth="1"/>
    <col min="5898" max="5898" width="8.85546875" style="1" bestFit="1" customWidth="1"/>
    <col min="5899" max="5899" width="8" style="1" bestFit="1" customWidth="1"/>
    <col min="5900" max="5901" width="5.85546875" style="1" customWidth="1"/>
    <col min="5902" max="5903" width="7.5703125" style="1" customWidth="1"/>
    <col min="5904" max="5904" width="7.42578125" style="1" customWidth="1"/>
    <col min="5905" max="5905" width="6.28515625" style="1" bestFit="1" customWidth="1"/>
    <col min="5906" max="5906" width="7.140625" style="1" bestFit="1" customWidth="1"/>
    <col min="5907" max="5908" width="5.5703125" style="1" bestFit="1" customWidth="1"/>
    <col min="5909" max="5910" width="6.28515625" style="1" customWidth="1"/>
    <col min="5911" max="5911" width="7.7109375" style="1" customWidth="1"/>
    <col min="5912" max="6143" width="9.140625" style="1"/>
    <col min="6144" max="6144" width="4.7109375" style="1" customWidth="1"/>
    <col min="6145" max="6145" width="16.28515625" style="1" customWidth="1"/>
    <col min="6146" max="6146" width="9.7109375" style="1" customWidth="1"/>
    <col min="6147" max="6148" width="5.5703125" style="1" bestFit="1" customWidth="1"/>
    <col min="6149" max="6149" width="6.5703125" style="1" bestFit="1" customWidth="1"/>
    <col min="6150" max="6150" width="6.85546875" style="1" bestFit="1" customWidth="1"/>
    <col min="6151" max="6151" width="7.140625" style="1" bestFit="1" customWidth="1"/>
    <col min="6152" max="6152" width="7" style="1" bestFit="1" customWidth="1"/>
    <col min="6153" max="6153" width="9" style="1" bestFit="1" customWidth="1"/>
    <col min="6154" max="6154" width="8.85546875" style="1" bestFit="1" customWidth="1"/>
    <col min="6155" max="6155" width="8" style="1" bestFit="1" customWidth="1"/>
    <col min="6156" max="6157" width="5.85546875" style="1" customWidth="1"/>
    <col min="6158" max="6159" width="7.5703125" style="1" customWidth="1"/>
    <col min="6160" max="6160" width="7.42578125" style="1" customWidth="1"/>
    <col min="6161" max="6161" width="6.28515625" style="1" bestFit="1" customWidth="1"/>
    <col min="6162" max="6162" width="7.140625" style="1" bestFit="1" customWidth="1"/>
    <col min="6163" max="6164" width="5.5703125" style="1" bestFit="1" customWidth="1"/>
    <col min="6165" max="6166" width="6.28515625" style="1" customWidth="1"/>
    <col min="6167" max="6167" width="7.7109375" style="1" customWidth="1"/>
    <col min="6168" max="6399" width="9.140625" style="1"/>
    <col min="6400" max="6400" width="4.7109375" style="1" customWidth="1"/>
    <col min="6401" max="6401" width="16.28515625" style="1" customWidth="1"/>
    <col min="6402" max="6402" width="9.7109375" style="1" customWidth="1"/>
    <col min="6403" max="6404" width="5.5703125" style="1" bestFit="1" customWidth="1"/>
    <col min="6405" max="6405" width="6.5703125" style="1" bestFit="1" customWidth="1"/>
    <col min="6406" max="6406" width="6.85546875" style="1" bestFit="1" customWidth="1"/>
    <col min="6407" max="6407" width="7.140625" style="1" bestFit="1" customWidth="1"/>
    <col min="6408" max="6408" width="7" style="1" bestFit="1" customWidth="1"/>
    <col min="6409" max="6409" width="9" style="1" bestFit="1" customWidth="1"/>
    <col min="6410" max="6410" width="8.85546875" style="1" bestFit="1" customWidth="1"/>
    <col min="6411" max="6411" width="8" style="1" bestFit="1" customWidth="1"/>
    <col min="6412" max="6413" width="5.85546875" style="1" customWidth="1"/>
    <col min="6414" max="6415" width="7.5703125" style="1" customWidth="1"/>
    <col min="6416" max="6416" width="7.42578125" style="1" customWidth="1"/>
    <col min="6417" max="6417" width="6.28515625" style="1" bestFit="1" customWidth="1"/>
    <col min="6418" max="6418" width="7.140625" style="1" bestFit="1" customWidth="1"/>
    <col min="6419" max="6420" width="5.5703125" style="1" bestFit="1" customWidth="1"/>
    <col min="6421" max="6422" width="6.28515625" style="1" customWidth="1"/>
    <col min="6423" max="6423" width="7.7109375" style="1" customWidth="1"/>
    <col min="6424" max="6655" width="9.140625" style="1"/>
    <col min="6656" max="6656" width="4.7109375" style="1" customWidth="1"/>
    <col min="6657" max="6657" width="16.28515625" style="1" customWidth="1"/>
    <col min="6658" max="6658" width="9.7109375" style="1" customWidth="1"/>
    <col min="6659" max="6660" width="5.5703125" style="1" bestFit="1" customWidth="1"/>
    <col min="6661" max="6661" width="6.5703125" style="1" bestFit="1" customWidth="1"/>
    <col min="6662" max="6662" width="6.85546875" style="1" bestFit="1" customWidth="1"/>
    <col min="6663" max="6663" width="7.140625" style="1" bestFit="1" customWidth="1"/>
    <col min="6664" max="6664" width="7" style="1" bestFit="1" customWidth="1"/>
    <col min="6665" max="6665" width="9" style="1" bestFit="1" customWidth="1"/>
    <col min="6666" max="6666" width="8.85546875" style="1" bestFit="1" customWidth="1"/>
    <col min="6667" max="6667" width="8" style="1" bestFit="1" customWidth="1"/>
    <col min="6668" max="6669" width="5.85546875" style="1" customWidth="1"/>
    <col min="6670" max="6671" width="7.5703125" style="1" customWidth="1"/>
    <col min="6672" max="6672" width="7.42578125" style="1" customWidth="1"/>
    <col min="6673" max="6673" width="6.28515625" style="1" bestFit="1" customWidth="1"/>
    <col min="6674" max="6674" width="7.140625" style="1" bestFit="1" customWidth="1"/>
    <col min="6675" max="6676" width="5.5703125" style="1" bestFit="1" customWidth="1"/>
    <col min="6677" max="6678" width="6.28515625" style="1" customWidth="1"/>
    <col min="6679" max="6679" width="7.7109375" style="1" customWidth="1"/>
    <col min="6680" max="6911" width="9.140625" style="1"/>
    <col min="6912" max="6912" width="4.7109375" style="1" customWidth="1"/>
    <col min="6913" max="6913" width="16.28515625" style="1" customWidth="1"/>
    <col min="6914" max="6914" width="9.7109375" style="1" customWidth="1"/>
    <col min="6915" max="6916" width="5.5703125" style="1" bestFit="1" customWidth="1"/>
    <col min="6917" max="6917" width="6.5703125" style="1" bestFit="1" customWidth="1"/>
    <col min="6918" max="6918" width="6.85546875" style="1" bestFit="1" customWidth="1"/>
    <col min="6919" max="6919" width="7.140625" style="1" bestFit="1" customWidth="1"/>
    <col min="6920" max="6920" width="7" style="1" bestFit="1" customWidth="1"/>
    <col min="6921" max="6921" width="9" style="1" bestFit="1" customWidth="1"/>
    <col min="6922" max="6922" width="8.85546875" style="1" bestFit="1" customWidth="1"/>
    <col min="6923" max="6923" width="8" style="1" bestFit="1" customWidth="1"/>
    <col min="6924" max="6925" width="5.85546875" style="1" customWidth="1"/>
    <col min="6926" max="6927" width="7.5703125" style="1" customWidth="1"/>
    <col min="6928" max="6928" width="7.42578125" style="1" customWidth="1"/>
    <col min="6929" max="6929" width="6.28515625" style="1" bestFit="1" customWidth="1"/>
    <col min="6930" max="6930" width="7.140625" style="1" bestFit="1" customWidth="1"/>
    <col min="6931" max="6932" width="5.5703125" style="1" bestFit="1" customWidth="1"/>
    <col min="6933" max="6934" width="6.28515625" style="1" customWidth="1"/>
    <col min="6935" max="6935" width="7.7109375" style="1" customWidth="1"/>
    <col min="6936" max="7167" width="9.140625" style="1"/>
    <col min="7168" max="7168" width="4.7109375" style="1" customWidth="1"/>
    <col min="7169" max="7169" width="16.28515625" style="1" customWidth="1"/>
    <col min="7170" max="7170" width="9.7109375" style="1" customWidth="1"/>
    <col min="7171" max="7172" width="5.5703125" style="1" bestFit="1" customWidth="1"/>
    <col min="7173" max="7173" width="6.5703125" style="1" bestFit="1" customWidth="1"/>
    <col min="7174" max="7174" width="6.85546875" style="1" bestFit="1" customWidth="1"/>
    <col min="7175" max="7175" width="7.140625" style="1" bestFit="1" customWidth="1"/>
    <col min="7176" max="7176" width="7" style="1" bestFit="1" customWidth="1"/>
    <col min="7177" max="7177" width="9" style="1" bestFit="1" customWidth="1"/>
    <col min="7178" max="7178" width="8.85546875" style="1" bestFit="1" customWidth="1"/>
    <col min="7179" max="7179" width="8" style="1" bestFit="1" customWidth="1"/>
    <col min="7180" max="7181" width="5.85546875" style="1" customWidth="1"/>
    <col min="7182" max="7183" width="7.5703125" style="1" customWidth="1"/>
    <col min="7184" max="7184" width="7.42578125" style="1" customWidth="1"/>
    <col min="7185" max="7185" width="6.28515625" style="1" bestFit="1" customWidth="1"/>
    <col min="7186" max="7186" width="7.140625" style="1" bestFit="1" customWidth="1"/>
    <col min="7187" max="7188" width="5.5703125" style="1" bestFit="1" customWidth="1"/>
    <col min="7189" max="7190" width="6.28515625" style="1" customWidth="1"/>
    <col min="7191" max="7191" width="7.7109375" style="1" customWidth="1"/>
    <col min="7192" max="7423" width="9.140625" style="1"/>
    <col min="7424" max="7424" width="4.7109375" style="1" customWidth="1"/>
    <col min="7425" max="7425" width="16.28515625" style="1" customWidth="1"/>
    <col min="7426" max="7426" width="9.7109375" style="1" customWidth="1"/>
    <col min="7427" max="7428" width="5.5703125" style="1" bestFit="1" customWidth="1"/>
    <col min="7429" max="7429" width="6.5703125" style="1" bestFit="1" customWidth="1"/>
    <col min="7430" max="7430" width="6.85546875" style="1" bestFit="1" customWidth="1"/>
    <col min="7431" max="7431" width="7.140625" style="1" bestFit="1" customWidth="1"/>
    <col min="7432" max="7432" width="7" style="1" bestFit="1" customWidth="1"/>
    <col min="7433" max="7433" width="9" style="1" bestFit="1" customWidth="1"/>
    <col min="7434" max="7434" width="8.85546875" style="1" bestFit="1" customWidth="1"/>
    <col min="7435" max="7435" width="8" style="1" bestFit="1" customWidth="1"/>
    <col min="7436" max="7437" width="5.85546875" style="1" customWidth="1"/>
    <col min="7438" max="7439" width="7.5703125" style="1" customWidth="1"/>
    <col min="7440" max="7440" width="7.42578125" style="1" customWidth="1"/>
    <col min="7441" max="7441" width="6.28515625" style="1" bestFit="1" customWidth="1"/>
    <col min="7442" max="7442" width="7.140625" style="1" bestFit="1" customWidth="1"/>
    <col min="7443" max="7444" width="5.5703125" style="1" bestFit="1" customWidth="1"/>
    <col min="7445" max="7446" width="6.28515625" style="1" customWidth="1"/>
    <col min="7447" max="7447" width="7.7109375" style="1" customWidth="1"/>
    <col min="7448" max="7679" width="9.140625" style="1"/>
    <col min="7680" max="7680" width="4.7109375" style="1" customWidth="1"/>
    <col min="7681" max="7681" width="16.28515625" style="1" customWidth="1"/>
    <col min="7682" max="7682" width="9.7109375" style="1" customWidth="1"/>
    <col min="7683" max="7684" width="5.5703125" style="1" bestFit="1" customWidth="1"/>
    <col min="7685" max="7685" width="6.5703125" style="1" bestFit="1" customWidth="1"/>
    <col min="7686" max="7686" width="6.85546875" style="1" bestFit="1" customWidth="1"/>
    <col min="7687" max="7687" width="7.140625" style="1" bestFit="1" customWidth="1"/>
    <col min="7688" max="7688" width="7" style="1" bestFit="1" customWidth="1"/>
    <col min="7689" max="7689" width="9" style="1" bestFit="1" customWidth="1"/>
    <col min="7690" max="7690" width="8.85546875" style="1" bestFit="1" customWidth="1"/>
    <col min="7691" max="7691" width="8" style="1" bestFit="1" customWidth="1"/>
    <col min="7692" max="7693" width="5.85546875" style="1" customWidth="1"/>
    <col min="7694" max="7695" width="7.5703125" style="1" customWidth="1"/>
    <col min="7696" max="7696" width="7.42578125" style="1" customWidth="1"/>
    <col min="7697" max="7697" width="6.28515625" style="1" bestFit="1" customWidth="1"/>
    <col min="7698" max="7698" width="7.140625" style="1" bestFit="1" customWidth="1"/>
    <col min="7699" max="7700" width="5.5703125" style="1" bestFit="1" customWidth="1"/>
    <col min="7701" max="7702" width="6.28515625" style="1" customWidth="1"/>
    <col min="7703" max="7703" width="7.7109375" style="1" customWidth="1"/>
    <col min="7704" max="7935" width="9.140625" style="1"/>
    <col min="7936" max="7936" width="4.7109375" style="1" customWidth="1"/>
    <col min="7937" max="7937" width="16.28515625" style="1" customWidth="1"/>
    <col min="7938" max="7938" width="9.7109375" style="1" customWidth="1"/>
    <col min="7939" max="7940" width="5.5703125" style="1" bestFit="1" customWidth="1"/>
    <col min="7941" max="7941" width="6.5703125" style="1" bestFit="1" customWidth="1"/>
    <col min="7942" max="7942" width="6.85546875" style="1" bestFit="1" customWidth="1"/>
    <col min="7943" max="7943" width="7.140625" style="1" bestFit="1" customWidth="1"/>
    <col min="7944" max="7944" width="7" style="1" bestFit="1" customWidth="1"/>
    <col min="7945" max="7945" width="9" style="1" bestFit="1" customWidth="1"/>
    <col min="7946" max="7946" width="8.85546875" style="1" bestFit="1" customWidth="1"/>
    <col min="7947" max="7947" width="8" style="1" bestFit="1" customWidth="1"/>
    <col min="7948" max="7949" width="5.85546875" style="1" customWidth="1"/>
    <col min="7950" max="7951" width="7.5703125" style="1" customWidth="1"/>
    <col min="7952" max="7952" width="7.42578125" style="1" customWidth="1"/>
    <col min="7953" max="7953" width="6.28515625" style="1" bestFit="1" customWidth="1"/>
    <col min="7954" max="7954" width="7.140625" style="1" bestFit="1" customWidth="1"/>
    <col min="7955" max="7956" width="5.5703125" style="1" bestFit="1" customWidth="1"/>
    <col min="7957" max="7958" width="6.28515625" style="1" customWidth="1"/>
    <col min="7959" max="7959" width="7.7109375" style="1" customWidth="1"/>
    <col min="7960" max="8191" width="9.140625" style="1"/>
    <col min="8192" max="8192" width="4.7109375" style="1" customWidth="1"/>
    <col min="8193" max="8193" width="16.28515625" style="1" customWidth="1"/>
    <col min="8194" max="8194" width="9.7109375" style="1" customWidth="1"/>
    <col min="8195" max="8196" width="5.5703125" style="1" bestFit="1" customWidth="1"/>
    <col min="8197" max="8197" width="6.5703125" style="1" bestFit="1" customWidth="1"/>
    <col min="8198" max="8198" width="6.85546875" style="1" bestFit="1" customWidth="1"/>
    <col min="8199" max="8199" width="7.140625" style="1" bestFit="1" customWidth="1"/>
    <col min="8200" max="8200" width="7" style="1" bestFit="1" customWidth="1"/>
    <col min="8201" max="8201" width="9" style="1" bestFit="1" customWidth="1"/>
    <col min="8202" max="8202" width="8.85546875" style="1" bestFit="1" customWidth="1"/>
    <col min="8203" max="8203" width="8" style="1" bestFit="1" customWidth="1"/>
    <col min="8204" max="8205" width="5.85546875" style="1" customWidth="1"/>
    <col min="8206" max="8207" width="7.5703125" style="1" customWidth="1"/>
    <col min="8208" max="8208" width="7.42578125" style="1" customWidth="1"/>
    <col min="8209" max="8209" width="6.28515625" style="1" bestFit="1" customWidth="1"/>
    <col min="8210" max="8210" width="7.140625" style="1" bestFit="1" customWidth="1"/>
    <col min="8211" max="8212" width="5.5703125" style="1" bestFit="1" customWidth="1"/>
    <col min="8213" max="8214" width="6.28515625" style="1" customWidth="1"/>
    <col min="8215" max="8215" width="7.7109375" style="1" customWidth="1"/>
    <col min="8216" max="8447" width="9.140625" style="1"/>
    <col min="8448" max="8448" width="4.7109375" style="1" customWidth="1"/>
    <col min="8449" max="8449" width="16.28515625" style="1" customWidth="1"/>
    <col min="8450" max="8450" width="9.7109375" style="1" customWidth="1"/>
    <col min="8451" max="8452" width="5.5703125" style="1" bestFit="1" customWidth="1"/>
    <col min="8453" max="8453" width="6.5703125" style="1" bestFit="1" customWidth="1"/>
    <col min="8454" max="8454" width="6.85546875" style="1" bestFit="1" customWidth="1"/>
    <col min="8455" max="8455" width="7.140625" style="1" bestFit="1" customWidth="1"/>
    <col min="8456" max="8456" width="7" style="1" bestFit="1" customWidth="1"/>
    <col min="8457" max="8457" width="9" style="1" bestFit="1" customWidth="1"/>
    <col min="8458" max="8458" width="8.85546875" style="1" bestFit="1" customWidth="1"/>
    <col min="8459" max="8459" width="8" style="1" bestFit="1" customWidth="1"/>
    <col min="8460" max="8461" width="5.85546875" style="1" customWidth="1"/>
    <col min="8462" max="8463" width="7.5703125" style="1" customWidth="1"/>
    <col min="8464" max="8464" width="7.42578125" style="1" customWidth="1"/>
    <col min="8465" max="8465" width="6.28515625" style="1" bestFit="1" customWidth="1"/>
    <col min="8466" max="8466" width="7.140625" style="1" bestFit="1" customWidth="1"/>
    <col min="8467" max="8468" width="5.5703125" style="1" bestFit="1" customWidth="1"/>
    <col min="8469" max="8470" width="6.28515625" style="1" customWidth="1"/>
    <col min="8471" max="8471" width="7.7109375" style="1" customWidth="1"/>
    <col min="8472" max="8703" width="9.140625" style="1"/>
    <col min="8704" max="8704" width="4.7109375" style="1" customWidth="1"/>
    <col min="8705" max="8705" width="16.28515625" style="1" customWidth="1"/>
    <col min="8706" max="8706" width="9.7109375" style="1" customWidth="1"/>
    <col min="8707" max="8708" width="5.5703125" style="1" bestFit="1" customWidth="1"/>
    <col min="8709" max="8709" width="6.5703125" style="1" bestFit="1" customWidth="1"/>
    <col min="8710" max="8710" width="6.85546875" style="1" bestFit="1" customWidth="1"/>
    <col min="8711" max="8711" width="7.140625" style="1" bestFit="1" customWidth="1"/>
    <col min="8712" max="8712" width="7" style="1" bestFit="1" customWidth="1"/>
    <col min="8713" max="8713" width="9" style="1" bestFit="1" customWidth="1"/>
    <col min="8714" max="8714" width="8.85546875" style="1" bestFit="1" customWidth="1"/>
    <col min="8715" max="8715" width="8" style="1" bestFit="1" customWidth="1"/>
    <col min="8716" max="8717" width="5.85546875" style="1" customWidth="1"/>
    <col min="8718" max="8719" width="7.5703125" style="1" customWidth="1"/>
    <col min="8720" max="8720" width="7.42578125" style="1" customWidth="1"/>
    <col min="8721" max="8721" width="6.28515625" style="1" bestFit="1" customWidth="1"/>
    <col min="8722" max="8722" width="7.140625" style="1" bestFit="1" customWidth="1"/>
    <col min="8723" max="8724" width="5.5703125" style="1" bestFit="1" customWidth="1"/>
    <col min="8725" max="8726" width="6.28515625" style="1" customWidth="1"/>
    <col min="8727" max="8727" width="7.7109375" style="1" customWidth="1"/>
    <col min="8728" max="8959" width="9.140625" style="1"/>
    <col min="8960" max="8960" width="4.7109375" style="1" customWidth="1"/>
    <col min="8961" max="8961" width="16.28515625" style="1" customWidth="1"/>
    <col min="8962" max="8962" width="9.7109375" style="1" customWidth="1"/>
    <col min="8963" max="8964" width="5.5703125" style="1" bestFit="1" customWidth="1"/>
    <col min="8965" max="8965" width="6.5703125" style="1" bestFit="1" customWidth="1"/>
    <col min="8966" max="8966" width="6.85546875" style="1" bestFit="1" customWidth="1"/>
    <col min="8967" max="8967" width="7.140625" style="1" bestFit="1" customWidth="1"/>
    <col min="8968" max="8968" width="7" style="1" bestFit="1" customWidth="1"/>
    <col min="8969" max="8969" width="9" style="1" bestFit="1" customWidth="1"/>
    <col min="8970" max="8970" width="8.85546875" style="1" bestFit="1" customWidth="1"/>
    <col min="8971" max="8971" width="8" style="1" bestFit="1" customWidth="1"/>
    <col min="8972" max="8973" width="5.85546875" style="1" customWidth="1"/>
    <col min="8974" max="8975" width="7.5703125" style="1" customWidth="1"/>
    <col min="8976" max="8976" width="7.42578125" style="1" customWidth="1"/>
    <col min="8977" max="8977" width="6.28515625" style="1" bestFit="1" customWidth="1"/>
    <col min="8978" max="8978" width="7.140625" style="1" bestFit="1" customWidth="1"/>
    <col min="8979" max="8980" width="5.5703125" style="1" bestFit="1" customWidth="1"/>
    <col min="8981" max="8982" width="6.28515625" style="1" customWidth="1"/>
    <col min="8983" max="8983" width="7.7109375" style="1" customWidth="1"/>
    <col min="8984" max="9215" width="9.140625" style="1"/>
    <col min="9216" max="9216" width="4.7109375" style="1" customWidth="1"/>
    <col min="9217" max="9217" width="16.28515625" style="1" customWidth="1"/>
    <col min="9218" max="9218" width="9.7109375" style="1" customWidth="1"/>
    <col min="9219" max="9220" width="5.5703125" style="1" bestFit="1" customWidth="1"/>
    <col min="9221" max="9221" width="6.5703125" style="1" bestFit="1" customWidth="1"/>
    <col min="9222" max="9222" width="6.85546875" style="1" bestFit="1" customWidth="1"/>
    <col min="9223" max="9223" width="7.140625" style="1" bestFit="1" customWidth="1"/>
    <col min="9224" max="9224" width="7" style="1" bestFit="1" customWidth="1"/>
    <col min="9225" max="9225" width="9" style="1" bestFit="1" customWidth="1"/>
    <col min="9226" max="9226" width="8.85546875" style="1" bestFit="1" customWidth="1"/>
    <col min="9227" max="9227" width="8" style="1" bestFit="1" customWidth="1"/>
    <col min="9228" max="9229" width="5.85546875" style="1" customWidth="1"/>
    <col min="9230" max="9231" width="7.5703125" style="1" customWidth="1"/>
    <col min="9232" max="9232" width="7.42578125" style="1" customWidth="1"/>
    <col min="9233" max="9233" width="6.28515625" style="1" bestFit="1" customWidth="1"/>
    <col min="9234" max="9234" width="7.140625" style="1" bestFit="1" customWidth="1"/>
    <col min="9235" max="9236" width="5.5703125" style="1" bestFit="1" customWidth="1"/>
    <col min="9237" max="9238" width="6.28515625" style="1" customWidth="1"/>
    <col min="9239" max="9239" width="7.7109375" style="1" customWidth="1"/>
    <col min="9240" max="9471" width="9.140625" style="1"/>
    <col min="9472" max="9472" width="4.7109375" style="1" customWidth="1"/>
    <col min="9473" max="9473" width="16.28515625" style="1" customWidth="1"/>
    <col min="9474" max="9474" width="9.7109375" style="1" customWidth="1"/>
    <col min="9475" max="9476" width="5.5703125" style="1" bestFit="1" customWidth="1"/>
    <col min="9477" max="9477" width="6.5703125" style="1" bestFit="1" customWidth="1"/>
    <col min="9478" max="9478" width="6.85546875" style="1" bestFit="1" customWidth="1"/>
    <col min="9479" max="9479" width="7.140625" style="1" bestFit="1" customWidth="1"/>
    <col min="9480" max="9480" width="7" style="1" bestFit="1" customWidth="1"/>
    <col min="9481" max="9481" width="9" style="1" bestFit="1" customWidth="1"/>
    <col min="9482" max="9482" width="8.85546875" style="1" bestFit="1" customWidth="1"/>
    <col min="9483" max="9483" width="8" style="1" bestFit="1" customWidth="1"/>
    <col min="9484" max="9485" width="5.85546875" style="1" customWidth="1"/>
    <col min="9486" max="9487" width="7.5703125" style="1" customWidth="1"/>
    <col min="9488" max="9488" width="7.42578125" style="1" customWidth="1"/>
    <col min="9489" max="9489" width="6.28515625" style="1" bestFit="1" customWidth="1"/>
    <col min="9490" max="9490" width="7.140625" style="1" bestFit="1" customWidth="1"/>
    <col min="9491" max="9492" width="5.5703125" style="1" bestFit="1" customWidth="1"/>
    <col min="9493" max="9494" width="6.28515625" style="1" customWidth="1"/>
    <col min="9495" max="9495" width="7.7109375" style="1" customWidth="1"/>
    <col min="9496" max="9727" width="9.140625" style="1"/>
    <col min="9728" max="9728" width="4.7109375" style="1" customWidth="1"/>
    <col min="9729" max="9729" width="16.28515625" style="1" customWidth="1"/>
    <col min="9730" max="9730" width="9.7109375" style="1" customWidth="1"/>
    <col min="9731" max="9732" width="5.5703125" style="1" bestFit="1" customWidth="1"/>
    <col min="9733" max="9733" width="6.5703125" style="1" bestFit="1" customWidth="1"/>
    <col min="9734" max="9734" width="6.85546875" style="1" bestFit="1" customWidth="1"/>
    <col min="9735" max="9735" width="7.140625" style="1" bestFit="1" customWidth="1"/>
    <col min="9736" max="9736" width="7" style="1" bestFit="1" customWidth="1"/>
    <col min="9737" max="9737" width="9" style="1" bestFit="1" customWidth="1"/>
    <col min="9738" max="9738" width="8.85546875" style="1" bestFit="1" customWidth="1"/>
    <col min="9739" max="9739" width="8" style="1" bestFit="1" customWidth="1"/>
    <col min="9740" max="9741" width="5.85546875" style="1" customWidth="1"/>
    <col min="9742" max="9743" width="7.5703125" style="1" customWidth="1"/>
    <col min="9744" max="9744" width="7.42578125" style="1" customWidth="1"/>
    <col min="9745" max="9745" width="6.28515625" style="1" bestFit="1" customWidth="1"/>
    <col min="9746" max="9746" width="7.140625" style="1" bestFit="1" customWidth="1"/>
    <col min="9747" max="9748" width="5.5703125" style="1" bestFit="1" customWidth="1"/>
    <col min="9749" max="9750" width="6.28515625" style="1" customWidth="1"/>
    <col min="9751" max="9751" width="7.7109375" style="1" customWidth="1"/>
    <col min="9752" max="9983" width="9.140625" style="1"/>
    <col min="9984" max="9984" width="4.7109375" style="1" customWidth="1"/>
    <col min="9985" max="9985" width="16.28515625" style="1" customWidth="1"/>
    <col min="9986" max="9986" width="9.7109375" style="1" customWidth="1"/>
    <col min="9987" max="9988" width="5.5703125" style="1" bestFit="1" customWidth="1"/>
    <col min="9989" max="9989" width="6.5703125" style="1" bestFit="1" customWidth="1"/>
    <col min="9990" max="9990" width="6.85546875" style="1" bestFit="1" customWidth="1"/>
    <col min="9991" max="9991" width="7.140625" style="1" bestFit="1" customWidth="1"/>
    <col min="9992" max="9992" width="7" style="1" bestFit="1" customWidth="1"/>
    <col min="9993" max="9993" width="9" style="1" bestFit="1" customWidth="1"/>
    <col min="9994" max="9994" width="8.85546875" style="1" bestFit="1" customWidth="1"/>
    <col min="9995" max="9995" width="8" style="1" bestFit="1" customWidth="1"/>
    <col min="9996" max="9997" width="5.85546875" style="1" customWidth="1"/>
    <col min="9998" max="9999" width="7.5703125" style="1" customWidth="1"/>
    <col min="10000" max="10000" width="7.42578125" style="1" customWidth="1"/>
    <col min="10001" max="10001" width="6.28515625" style="1" bestFit="1" customWidth="1"/>
    <col min="10002" max="10002" width="7.140625" style="1" bestFit="1" customWidth="1"/>
    <col min="10003" max="10004" width="5.5703125" style="1" bestFit="1" customWidth="1"/>
    <col min="10005" max="10006" width="6.28515625" style="1" customWidth="1"/>
    <col min="10007" max="10007" width="7.7109375" style="1" customWidth="1"/>
    <col min="10008" max="10239" width="9.140625" style="1"/>
    <col min="10240" max="10240" width="4.7109375" style="1" customWidth="1"/>
    <col min="10241" max="10241" width="16.28515625" style="1" customWidth="1"/>
    <col min="10242" max="10242" width="9.7109375" style="1" customWidth="1"/>
    <col min="10243" max="10244" width="5.5703125" style="1" bestFit="1" customWidth="1"/>
    <col min="10245" max="10245" width="6.5703125" style="1" bestFit="1" customWidth="1"/>
    <col min="10246" max="10246" width="6.85546875" style="1" bestFit="1" customWidth="1"/>
    <col min="10247" max="10247" width="7.140625" style="1" bestFit="1" customWidth="1"/>
    <col min="10248" max="10248" width="7" style="1" bestFit="1" customWidth="1"/>
    <col min="10249" max="10249" width="9" style="1" bestFit="1" customWidth="1"/>
    <col min="10250" max="10250" width="8.85546875" style="1" bestFit="1" customWidth="1"/>
    <col min="10251" max="10251" width="8" style="1" bestFit="1" customWidth="1"/>
    <col min="10252" max="10253" width="5.85546875" style="1" customWidth="1"/>
    <col min="10254" max="10255" width="7.5703125" style="1" customWidth="1"/>
    <col min="10256" max="10256" width="7.42578125" style="1" customWidth="1"/>
    <col min="10257" max="10257" width="6.28515625" style="1" bestFit="1" customWidth="1"/>
    <col min="10258" max="10258" width="7.140625" style="1" bestFit="1" customWidth="1"/>
    <col min="10259" max="10260" width="5.5703125" style="1" bestFit="1" customWidth="1"/>
    <col min="10261" max="10262" width="6.28515625" style="1" customWidth="1"/>
    <col min="10263" max="10263" width="7.7109375" style="1" customWidth="1"/>
    <col min="10264" max="10495" width="9.140625" style="1"/>
    <col min="10496" max="10496" width="4.7109375" style="1" customWidth="1"/>
    <col min="10497" max="10497" width="16.28515625" style="1" customWidth="1"/>
    <col min="10498" max="10498" width="9.7109375" style="1" customWidth="1"/>
    <col min="10499" max="10500" width="5.5703125" style="1" bestFit="1" customWidth="1"/>
    <col min="10501" max="10501" width="6.5703125" style="1" bestFit="1" customWidth="1"/>
    <col min="10502" max="10502" width="6.85546875" style="1" bestFit="1" customWidth="1"/>
    <col min="10503" max="10503" width="7.140625" style="1" bestFit="1" customWidth="1"/>
    <col min="10504" max="10504" width="7" style="1" bestFit="1" customWidth="1"/>
    <col min="10505" max="10505" width="9" style="1" bestFit="1" customWidth="1"/>
    <col min="10506" max="10506" width="8.85546875" style="1" bestFit="1" customWidth="1"/>
    <col min="10507" max="10507" width="8" style="1" bestFit="1" customWidth="1"/>
    <col min="10508" max="10509" width="5.85546875" style="1" customWidth="1"/>
    <col min="10510" max="10511" width="7.5703125" style="1" customWidth="1"/>
    <col min="10512" max="10512" width="7.42578125" style="1" customWidth="1"/>
    <col min="10513" max="10513" width="6.28515625" style="1" bestFit="1" customWidth="1"/>
    <col min="10514" max="10514" width="7.140625" style="1" bestFit="1" customWidth="1"/>
    <col min="10515" max="10516" width="5.5703125" style="1" bestFit="1" customWidth="1"/>
    <col min="10517" max="10518" width="6.28515625" style="1" customWidth="1"/>
    <col min="10519" max="10519" width="7.7109375" style="1" customWidth="1"/>
    <col min="10520" max="10751" width="9.140625" style="1"/>
    <col min="10752" max="10752" width="4.7109375" style="1" customWidth="1"/>
    <col min="10753" max="10753" width="16.28515625" style="1" customWidth="1"/>
    <col min="10754" max="10754" width="9.7109375" style="1" customWidth="1"/>
    <col min="10755" max="10756" width="5.5703125" style="1" bestFit="1" customWidth="1"/>
    <col min="10757" max="10757" width="6.5703125" style="1" bestFit="1" customWidth="1"/>
    <col min="10758" max="10758" width="6.85546875" style="1" bestFit="1" customWidth="1"/>
    <col min="10759" max="10759" width="7.140625" style="1" bestFit="1" customWidth="1"/>
    <col min="10760" max="10760" width="7" style="1" bestFit="1" customWidth="1"/>
    <col min="10761" max="10761" width="9" style="1" bestFit="1" customWidth="1"/>
    <col min="10762" max="10762" width="8.85546875" style="1" bestFit="1" customWidth="1"/>
    <col min="10763" max="10763" width="8" style="1" bestFit="1" customWidth="1"/>
    <col min="10764" max="10765" width="5.85546875" style="1" customWidth="1"/>
    <col min="10766" max="10767" width="7.5703125" style="1" customWidth="1"/>
    <col min="10768" max="10768" width="7.42578125" style="1" customWidth="1"/>
    <col min="10769" max="10769" width="6.28515625" style="1" bestFit="1" customWidth="1"/>
    <col min="10770" max="10770" width="7.140625" style="1" bestFit="1" customWidth="1"/>
    <col min="10771" max="10772" width="5.5703125" style="1" bestFit="1" customWidth="1"/>
    <col min="10773" max="10774" width="6.28515625" style="1" customWidth="1"/>
    <col min="10775" max="10775" width="7.7109375" style="1" customWidth="1"/>
    <col min="10776" max="11007" width="9.140625" style="1"/>
    <col min="11008" max="11008" width="4.7109375" style="1" customWidth="1"/>
    <col min="11009" max="11009" width="16.28515625" style="1" customWidth="1"/>
    <col min="11010" max="11010" width="9.7109375" style="1" customWidth="1"/>
    <col min="11011" max="11012" width="5.5703125" style="1" bestFit="1" customWidth="1"/>
    <col min="11013" max="11013" width="6.5703125" style="1" bestFit="1" customWidth="1"/>
    <col min="11014" max="11014" width="6.85546875" style="1" bestFit="1" customWidth="1"/>
    <col min="11015" max="11015" width="7.140625" style="1" bestFit="1" customWidth="1"/>
    <col min="11016" max="11016" width="7" style="1" bestFit="1" customWidth="1"/>
    <col min="11017" max="11017" width="9" style="1" bestFit="1" customWidth="1"/>
    <col min="11018" max="11018" width="8.85546875" style="1" bestFit="1" customWidth="1"/>
    <col min="11019" max="11019" width="8" style="1" bestFit="1" customWidth="1"/>
    <col min="11020" max="11021" width="5.85546875" style="1" customWidth="1"/>
    <col min="11022" max="11023" width="7.5703125" style="1" customWidth="1"/>
    <col min="11024" max="11024" width="7.42578125" style="1" customWidth="1"/>
    <col min="11025" max="11025" width="6.28515625" style="1" bestFit="1" customWidth="1"/>
    <col min="11026" max="11026" width="7.140625" style="1" bestFit="1" customWidth="1"/>
    <col min="11027" max="11028" width="5.5703125" style="1" bestFit="1" customWidth="1"/>
    <col min="11029" max="11030" width="6.28515625" style="1" customWidth="1"/>
    <col min="11031" max="11031" width="7.7109375" style="1" customWidth="1"/>
    <col min="11032" max="11263" width="9.140625" style="1"/>
    <col min="11264" max="11264" width="4.7109375" style="1" customWidth="1"/>
    <col min="11265" max="11265" width="16.28515625" style="1" customWidth="1"/>
    <col min="11266" max="11266" width="9.7109375" style="1" customWidth="1"/>
    <col min="11267" max="11268" width="5.5703125" style="1" bestFit="1" customWidth="1"/>
    <col min="11269" max="11269" width="6.5703125" style="1" bestFit="1" customWidth="1"/>
    <col min="11270" max="11270" width="6.85546875" style="1" bestFit="1" customWidth="1"/>
    <col min="11271" max="11271" width="7.140625" style="1" bestFit="1" customWidth="1"/>
    <col min="11272" max="11272" width="7" style="1" bestFit="1" customWidth="1"/>
    <col min="11273" max="11273" width="9" style="1" bestFit="1" customWidth="1"/>
    <col min="11274" max="11274" width="8.85546875" style="1" bestFit="1" customWidth="1"/>
    <col min="11275" max="11275" width="8" style="1" bestFit="1" customWidth="1"/>
    <col min="11276" max="11277" width="5.85546875" style="1" customWidth="1"/>
    <col min="11278" max="11279" width="7.5703125" style="1" customWidth="1"/>
    <col min="11280" max="11280" width="7.42578125" style="1" customWidth="1"/>
    <col min="11281" max="11281" width="6.28515625" style="1" bestFit="1" customWidth="1"/>
    <col min="11282" max="11282" width="7.140625" style="1" bestFit="1" customWidth="1"/>
    <col min="11283" max="11284" width="5.5703125" style="1" bestFit="1" customWidth="1"/>
    <col min="11285" max="11286" width="6.28515625" style="1" customWidth="1"/>
    <col min="11287" max="11287" width="7.7109375" style="1" customWidth="1"/>
    <col min="11288" max="11519" width="9.140625" style="1"/>
    <col min="11520" max="11520" width="4.7109375" style="1" customWidth="1"/>
    <col min="11521" max="11521" width="16.28515625" style="1" customWidth="1"/>
    <col min="11522" max="11522" width="9.7109375" style="1" customWidth="1"/>
    <col min="11523" max="11524" width="5.5703125" style="1" bestFit="1" customWidth="1"/>
    <col min="11525" max="11525" width="6.5703125" style="1" bestFit="1" customWidth="1"/>
    <col min="11526" max="11526" width="6.85546875" style="1" bestFit="1" customWidth="1"/>
    <col min="11527" max="11527" width="7.140625" style="1" bestFit="1" customWidth="1"/>
    <col min="11528" max="11528" width="7" style="1" bestFit="1" customWidth="1"/>
    <col min="11529" max="11529" width="9" style="1" bestFit="1" customWidth="1"/>
    <col min="11530" max="11530" width="8.85546875" style="1" bestFit="1" customWidth="1"/>
    <col min="11531" max="11531" width="8" style="1" bestFit="1" customWidth="1"/>
    <col min="11532" max="11533" width="5.85546875" style="1" customWidth="1"/>
    <col min="11534" max="11535" width="7.5703125" style="1" customWidth="1"/>
    <col min="11536" max="11536" width="7.42578125" style="1" customWidth="1"/>
    <col min="11537" max="11537" width="6.28515625" style="1" bestFit="1" customWidth="1"/>
    <col min="11538" max="11538" width="7.140625" style="1" bestFit="1" customWidth="1"/>
    <col min="11539" max="11540" width="5.5703125" style="1" bestFit="1" customWidth="1"/>
    <col min="11541" max="11542" width="6.28515625" style="1" customWidth="1"/>
    <col min="11543" max="11543" width="7.7109375" style="1" customWidth="1"/>
    <col min="11544" max="11775" width="9.140625" style="1"/>
    <col min="11776" max="11776" width="4.7109375" style="1" customWidth="1"/>
    <col min="11777" max="11777" width="16.28515625" style="1" customWidth="1"/>
    <col min="11778" max="11778" width="9.7109375" style="1" customWidth="1"/>
    <col min="11779" max="11780" width="5.5703125" style="1" bestFit="1" customWidth="1"/>
    <col min="11781" max="11781" width="6.5703125" style="1" bestFit="1" customWidth="1"/>
    <col min="11782" max="11782" width="6.85546875" style="1" bestFit="1" customWidth="1"/>
    <col min="11783" max="11783" width="7.140625" style="1" bestFit="1" customWidth="1"/>
    <col min="11784" max="11784" width="7" style="1" bestFit="1" customWidth="1"/>
    <col min="11785" max="11785" width="9" style="1" bestFit="1" customWidth="1"/>
    <col min="11786" max="11786" width="8.85546875" style="1" bestFit="1" customWidth="1"/>
    <col min="11787" max="11787" width="8" style="1" bestFit="1" customWidth="1"/>
    <col min="11788" max="11789" width="5.85546875" style="1" customWidth="1"/>
    <col min="11790" max="11791" width="7.5703125" style="1" customWidth="1"/>
    <col min="11792" max="11792" width="7.42578125" style="1" customWidth="1"/>
    <col min="11793" max="11793" width="6.28515625" style="1" bestFit="1" customWidth="1"/>
    <col min="11794" max="11794" width="7.140625" style="1" bestFit="1" customWidth="1"/>
    <col min="11795" max="11796" width="5.5703125" style="1" bestFit="1" customWidth="1"/>
    <col min="11797" max="11798" width="6.28515625" style="1" customWidth="1"/>
    <col min="11799" max="11799" width="7.7109375" style="1" customWidth="1"/>
    <col min="11800" max="12031" width="9.140625" style="1"/>
    <col min="12032" max="12032" width="4.7109375" style="1" customWidth="1"/>
    <col min="12033" max="12033" width="16.28515625" style="1" customWidth="1"/>
    <col min="12034" max="12034" width="9.7109375" style="1" customWidth="1"/>
    <col min="12035" max="12036" width="5.5703125" style="1" bestFit="1" customWidth="1"/>
    <col min="12037" max="12037" width="6.5703125" style="1" bestFit="1" customWidth="1"/>
    <col min="12038" max="12038" width="6.85546875" style="1" bestFit="1" customWidth="1"/>
    <col min="12039" max="12039" width="7.140625" style="1" bestFit="1" customWidth="1"/>
    <col min="12040" max="12040" width="7" style="1" bestFit="1" customWidth="1"/>
    <col min="12041" max="12041" width="9" style="1" bestFit="1" customWidth="1"/>
    <col min="12042" max="12042" width="8.85546875" style="1" bestFit="1" customWidth="1"/>
    <col min="12043" max="12043" width="8" style="1" bestFit="1" customWidth="1"/>
    <col min="12044" max="12045" width="5.85546875" style="1" customWidth="1"/>
    <col min="12046" max="12047" width="7.5703125" style="1" customWidth="1"/>
    <col min="12048" max="12048" width="7.42578125" style="1" customWidth="1"/>
    <col min="12049" max="12049" width="6.28515625" style="1" bestFit="1" customWidth="1"/>
    <col min="12050" max="12050" width="7.140625" style="1" bestFit="1" customWidth="1"/>
    <col min="12051" max="12052" width="5.5703125" style="1" bestFit="1" customWidth="1"/>
    <col min="12053" max="12054" width="6.28515625" style="1" customWidth="1"/>
    <col min="12055" max="12055" width="7.7109375" style="1" customWidth="1"/>
    <col min="12056" max="12287" width="9.140625" style="1"/>
    <col min="12288" max="12288" width="4.7109375" style="1" customWidth="1"/>
    <col min="12289" max="12289" width="16.28515625" style="1" customWidth="1"/>
    <col min="12290" max="12290" width="9.7109375" style="1" customWidth="1"/>
    <col min="12291" max="12292" width="5.5703125" style="1" bestFit="1" customWidth="1"/>
    <col min="12293" max="12293" width="6.5703125" style="1" bestFit="1" customWidth="1"/>
    <col min="12294" max="12294" width="6.85546875" style="1" bestFit="1" customWidth="1"/>
    <col min="12295" max="12295" width="7.140625" style="1" bestFit="1" customWidth="1"/>
    <col min="12296" max="12296" width="7" style="1" bestFit="1" customWidth="1"/>
    <col min="12297" max="12297" width="9" style="1" bestFit="1" customWidth="1"/>
    <col min="12298" max="12298" width="8.85546875" style="1" bestFit="1" customWidth="1"/>
    <col min="12299" max="12299" width="8" style="1" bestFit="1" customWidth="1"/>
    <col min="12300" max="12301" width="5.85546875" style="1" customWidth="1"/>
    <col min="12302" max="12303" width="7.5703125" style="1" customWidth="1"/>
    <col min="12304" max="12304" width="7.42578125" style="1" customWidth="1"/>
    <col min="12305" max="12305" width="6.28515625" style="1" bestFit="1" customWidth="1"/>
    <col min="12306" max="12306" width="7.140625" style="1" bestFit="1" customWidth="1"/>
    <col min="12307" max="12308" width="5.5703125" style="1" bestFit="1" customWidth="1"/>
    <col min="12309" max="12310" width="6.28515625" style="1" customWidth="1"/>
    <col min="12311" max="12311" width="7.7109375" style="1" customWidth="1"/>
    <col min="12312" max="12543" width="9.140625" style="1"/>
    <col min="12544" max="12544" width="4.7109375" style="1" customWidth="1"/>
    <col min="12545" max="12545" width="16.28515625" style="1" customWidth="1"/>
    <col min="12546" max="12546" width="9.7109375" style="1" customWidth="1"/>
    <col min="12547" max="12548" width="5.5703125" style="1" bestFit="1" customWidth="1"/>
    <col min="12549" max="12549" width="6.5703125" style="1" bestFit="1" customWidth="1"/>
    <col min="12550" max="12550" width="6.85546875" style="1" bestFit="1" customWidth="1"/>
    <col min="12551" max="12551" width="7.140625" style="1" bestFit="1" customWidth="1"/>
    <col min="12552" max="12552" width="7" style="1" bestFit="1" customWidth="1"/>
    <col min="12553" max="12553" width="9" style="1" bestFit="1" customWidth="1"/>
    <col min="12554" max="12554" width="8.85546875" style="1" bestFit="1" customWidth="1"/>
    <col min="12555" max="12555" width="8" style="1" bestFit="1" customWidth="1"/>
    <col min="12556" max="12557" width="5.85546875" style="1" customWidth="1"/>
    <col min="12558" max="12559" width="7.5703125" style="1" customWidth="1"/>
    <col min="12560" max="12560" width="7.42578125" style="1" customWidth="1"/>
    <col min="12561" max="12561" width="6.28515625" style="1" bestFit="1" customWidth="1"/>
    <col min="12562" max="12562" width="7.140625" style="1" bestFit="1" customWidth="1"/>
    <col min="12563" max="12564" width="5.5703125" style="1" bestFit="1" customWidth="1"/>
    <col min="12565" max="12566" width="6.28515625" style="1" customWidth="1"/>
    <col min="12567" max="12567" width="7.7109375" style="1" customWidth="1"/>
    <col min="12568" max="12799" width="9.140625" style="1"/>
    <col min="12800" max="12800" width="4.7109375" style="1" customWidth="1"/>
    <col min="12801" max="12801" width="16.28515625" style="1" customWidth="1"/>
    <col min="12802" max="12802" width="9.7109375" style="1" customWidth="1"/>
    <col min="12803" max="12804" width="5.5703125" style="1" bestFit="1" customWidth="1"/>
    <col min="12805" max="12805" width="6.5703125" style="1" bestFit="1" customWidth="1"/>
    <col min="12806" max="12806" width="6.85546875" style="1" bestFit="1" customWidth="1"/>
    <col min="12807" max="12807" width="7.140625" style="1" bestFit="1" customWidth="1"/>
    <col min="12808" max="12808" width="7" style="1" bestFit="1" customWidth="1"/>
    <col min="12809" max="12809" width="9" style="1" bestFit="1" customWidth="1"/>
    <col min="12810" max="12810" width="8.85546875" style="1" bestFit="1" customWidth="1"/>
    <col min="12811" max="12811" width="8" style="1" bestFit="1" customWidth="1"/>
    <col min="12812" max="12813" width="5.85546875" style="1" customWidth="1"/>
    <col min="12814" max="12815" width="7.5703125" style="1" customWidth="1"/>
    <col min="12816" max="12816" width="7.42578125" style="1" customWidth="1"/>
    <col min="12817" max="12817" width="6.28515625" style="1" bestFit="1" customWidth="1"/>
    <col min="12818" max="12818" width="7.140625" style="1" bestFit="1" customWidth="1"/>
    <col min="12819" max="12820" width="5.5703125" style="1" bestFit="1" customWidth="1"/>
    <col min="12821" max="12822" width="6.28515625" style="1" customWidth="1"/>
    <col min="12823" max="12823" width="7.7109375" style="1" customWidth="1"/>
    <col min="12824" max="13055" width="9.140625" style="1"/>
    <col min="13056" max="13056" width="4.7109375" style="1" customWidth="1"/>
    <col min="13057" max="13057" width="16.28515625" style="1" customWidth="1"/>
    <col min="13058" max="13058" width="9.7109375" style="1" customWidth="1"/>
    <col min="13059" max="13060" width="5.5703125" style="1" bestFit="1" customWidth="1"/>
    <col min="13061" max="13061" width="6.5703125" style="1" bestFit="1" customWidth="1"/>
    <col min="13062" max="13062" width="6.85546875" style="1" bestFit="1" customWidth="1"/>
    <col min="13063" max="13063" width="7.140625" style="1" bestFit="1" customWidth="1"/>
    <col min="13064" max="13064" width="7" style="1" bestFit="1" customWidth="1"/>
    <col min="13065" max="13065" width="9" style="1" bestFit="1" customWidth="1"/>
    <col min="13066" max="13066" width="8.85546875" style="1" bestFit="1" customWidth="1"/>
    <col min="13067" max="13067" width="8" style="1" bestFit="1" customWidth="1"/>
    <col min="13068" max="13069" width="5.85546875" style="1" customWidth="1"/>
    <col min="13070" max="13071" width="7.5703125" style="1" customWidth="1"/>
    <col min="13072" max="13072" width="7.42578125" style="1" customWidth="1"/>
    <col min="13073" max="13073" width="6.28515625" style="1" bestFit="1" customWidth="1"/>
    <col min="13074" max="13074" width="7.140625" style="1" bestFit="1" customWidth="1"/>
    <col min="13075" max="13076" width="5.5703125" style="1" bestFit="1" customWidth="1"/>
    <col min="13077" max="13078" width="6.28515625" style="1" customWidth="1"/>
    <col min="13079" max="13079" width="7.7109375" style="1" customWidth="1"/>
    <col min="13080" max="13311" width="9.140625" style="1"/>
    <col min="13312" max="13312" width="4.7109375" style="1" customWidth="1"/>
    <col min="13313" max="13313" width="16.28515625" style="1" customWidth="1"/>
    <col min="13314" max="13314" width="9.7109375" style="1" customWidth="1"/>
    <col min="13315" max="13316" width="5.5703125" style="1" bestFit="1" customWidth="1"/>
    <col min="13317" max="13317" width="6.5703125" style="1" bestFit="1" customWidth="1"/>
    <col min="13318" max="13318" width="6.85546875" style="1" bestFit="1" customWidth="1"/>
    <col min="13319" max="13319" width="7.140625" style="1" bestFit="1" customWidth="1"/>
    <col min="13320" max="13320" width="7" style="1" bestFit="1" customWidth="1"/>
    <col min="13321" max="13321" width="9" style="1" bestFit="1" customWidth="1"/>
    <col min="13322" max="13322" width="8.85546875" style="1" bestFit="1" customWidth="1"/>
    <col min="13323" max="13323" width="8" style="1" bestFit="1" customWidth="1"/>
    <col min="13324" max="13325" width="5.85546875" style="1" customWidth="1"/>
    <col min="13326" max="13327" width="7.5703125" style="1" customWidth="1"/>
    <col min="13328" max="13328" width="7.42578125" style="1" customWidth="1"/>
    <col min="13329" max="13329" width="6.28515625" style="1" bestFit="1" customWidth="1"/>
    <col min="13330" max="13330" width="7.140625" style="1" bestFit="1" customWidth="1"/>
    <col min="13331" max="13332" width="5.5703125" style="1" bestFit="1" customWidth="1"/>
    <col min="13333" max="13334" width="6.28515625" style="1" customWidth="1"/>
    <col min="13335" max="13335" width="7.7109375" style="1" customWidth="1"/>
    <col min="13336" max="13567" width="9.140625" style="1"/>
    <col min="13568" max="13568" width="4.7109375" style="1" customWidth="1"/>
    <col min="13569" max="13569" width="16.28515625" style="1" customWidth="1"/>
    <col min="13570" max="13570" width="9.7109375" style="1" customWidth="1"/>
    <col min="13571" max="13572" width="5.5703125" style="1" bestFit="1" customWidth="1"/>
    <col min="13573" max="13573" width="6.5703125" style="1" bestFit="1" customWidth="1"/>
    <col min="13574" max="13574" width="6.85546875" style="1" bestFit="1" customWidth="1"/>
    <col min="13575" max="13575" width="7.140625" style="1" bestFit="1" customWidth="1"/>
    <col min="13576" max="13576" width="7" style="1" bestFit="1" customWidth="1"/>
    <col min="13577" max="13577" width="9" style="1" bestFit="1" customWidth="1"/>
    <col min="13578" max="13578" width="8.85546875" style="1" bestFit="1" customWidth="1"/>
    <col min="13579" max="13579" width="8" style="1" bestFit="1" customWidth="1"/>
    <col min="13580" max="13581" width="5.85546875" style="1" customWidth="1"/>
    <col min="13582" max="13583" width="7.5703125" style="1" customWidth="1"/>
    <col min="13584" max="13584" width="7.42578125" style="1" customWidth="1"/>
    <col min="13585" max="13585" width="6.28515625" style="1" bestFit="1" customWidth="1"/>
    <col min="13586" max="13586" width="7.140625" style="1" bestFit="1" customWidth="1"/>
    <col min="13587" max="13588" width="5.5703125" style="1" bestFit="1" customWidth="1"/>
    <col min="13589" max="13590" width="6.28515625" style="1" customWidth="1"/>
    <col min="13591" max="13591" width="7.7109375" style="1" customWidth="1"/>
    <col min="13592" max="13823" width="9.140625" style="1"/>
    <col min="13824" max="13824" width="4.7109375" style="1" customWidth="1"/>
    <col min="13825" max="13825" width="16.28515625" style="1" customWidth="1"/>
    <col min="13826" max="13826" width="9.7109375" style="1" customWidth="1"/>
    <col min="13827" max="13828" width="5.5703125" style="1" bestFit="1" customWidth="1"/>
    <col min="13829" max="13829" width="6.5703125" style="1" bestFit="1" customWidth="1"/>
    <col min="13830" max="13830" width="6.85546875" style="1" bestFit="1" customWidth="1"/>
    <col min="13831" max="13831" width="7.140625" style="1" bestFit="1" customWidth="1"/>
    <col min="13832" max="13832" width="7" style="1" bestFit="1" customWidth="1"/>
    <col min="13833" max="13833" width="9" style="1" bestFit="1" customWidth="1"/>
    <col min="13834" max="13834" width="8.85546875" style="1" bestFit="1" customWidth="1"/>
    <col min="13835" max="13835" width="8" style="1" bestFit="1" customWidth="1"/>
    <col min="13836" max="13837" width="5.85546875" style="1" customWidth="1"/>
    <col min="13838" max="13839" width="7.5703125" style="1" customWidth="1"/>
    <col min="13840" max="13840" width="7.42578125" style="1" customWidth="1"/>
    <col min="13841" max="13841" width="6.28515625" style="1" bestFit="1" customWidth="1"/>
    <col min="13842" max="13842" width="7.140625" style="1" bestFit="1" customWidth="1"/>
    <col min="13843" max="13844" width="5.5703125" style="1" bestFit="1" customWidth="1"/>
    <col min="13845" max="13846" width="6.28515625" style="1" customWidth="1"/>
    <col min="13847" max="13847" width="7.7109375" style="1" customWidth="1"/>
    <col min="13848" max="14079" width="9.140625" style="1"/>
    <col min="14080" max="14080" width="4.7109375" style="1" customWidth="1"/>
    <col min="14081" max="14081" width="16.28515625" style="1" customWidth="1"/>
    <col min="14082" max="14082" width="9.7109375" style="1" customWidth="1"/>
    <col min="14083" max="14084" width="5.5703125" style="1" bestFit="1" customWidth="1"/>
    <col min="14085" max="14085" width="6.5703125" style="1" bestFit="1" customWidth="1"/>
    <col min="14086" max="14086" width="6.85546875" style="1" bestFit="1" customWidth="1"/>
    <col min="14087" max="14087" width="7.140625" style="1" bestFit="1" customWidth="1"/>
    <col min="14088" max="14088" width="7" style="1" bestFit="1" customWidth="1"/>
    <col min="14089" max="14089" width="9" style="1" bestFit="1" customWidth="1"/>
    <col min="14090" max="14090" width="8.85546875" style="1" bestFit="1" customWidth="1"/>
    <col min="14091" max="14091" width="8" style="1" bestFit="1" customWidth="1"/>
    <col min="14092" max="14093" width="5.85546875" style="1" customWidth="1"/>
    <col min="14094" max="14095" width="7.5703125" style="1" customWidth="1"/>
    <col min="14096" max="14096" width="7.42578125" style="1" customWidth="1"/>
    <col min="14097" max="14097" width="6.28515625" style="1" bestFit="1" customWidth="1"/>
    <col min="14098" max="14098" width="7.140625" style="1" bestFit="1" customWidth="1"/>
    <col min="14099" max="14100" width="5.5703125" style="1" bestFit="1" customWidth="1"/>
    <col min="14101" max="14102" width="6.28515625" style="1" customWidth="1"/>
    <col min="14103" max="14103" width="7.7109375" style="1" customWidth="1"/>
    <col min="14104" max="14335" width="9.140625" style="1"/>
    <col min="14336" max="14336" width="4.7109375" style="1" customWidth="1"/>
    <col min="14337" max="14337" width="16.28515625" style="1" customWidth="1"/>
    <col min="14338" max="14338" width="9.7109375" style="1" customWidth="1"/>
    <col min="14339" max="14340" width="5.5703125" style="1" bestFit="1" customWidth="1"/>
    <col min="14341" max="14341" width="6.5703125" style="1" bestFit="1" customWidth="1"/>
    <col min="14342" max="14342" width="6.85546875" style="1" bestFit="1" customWidth="1"/>
    <col min="14343" max="14343" width="7.140625" style="1" bestFit="1" customWidth="1"/>
    <col min="14344" max="14344" width="7" style="1" bestFit="1" customWidth="1"/>
    <col min="14345" max="14345" width="9" style="1" bestFit="1" customWidth="1"/>
    <col min="14346" max="14346" width="8.85546875" style="1" bestFit="1" customWidth="1"/>
    <col min="14347" max="14347" width="8" style="1" bestFit="1" customWidth="1"/>
    <col min="14348" max="14349" width="5.85546875" style="1" customWidth="1"/>
    <col min="14350" max="14351" width="7.5703125" style="1" customWidth="1"/>
    <col min="14352" max="14352" width="7.42578125" style="1" customWidth="1"/>
    <col min="14353" max="14353" width="6.28515625" style="1" bestFit="1" customWidth="1"/>
    <col min="14354" max="14354" width="7.140625" style="1" bestFit="1" customWidth="1"/>
    <col min="14355" max="14356" width="5.5703125" style="1" bestFit="1" customWidth="1"/>
    <col min="14357" max="14358" width="6.28515625" style="1" customWidth="1"/>
    <col min="14359" max="14359" width="7.7109375" style="1" customWidth="1"/>
    <col min="14360" max="14591" width="9.140625" style="1"/>
    <col min="14592" max="14592" width="4.7109375" style="1" customWidth="1"/>
    <col min="14593" max="14593" width="16.28515625" style="1" customWidth="1"/>
    <col min="14594" max="14594" width="9.7109375" style="1" customWidth="1"/>
    <col min="14595" max="14596" width="5.5703125" style="1" bestFit="1" customWidth="1"/>
    <col min="14597" max="14597" width="6.5703125" style="1" bestFit="1" customWidth="1"/>
    <col min="14598" max="14598" width="6.85546875" style="1" bestFit="1" customWidth="1"/>
    <col min="14599" max="14599" width="7.140625" style="1" bestFit="1" customWidth="1"/>
    <col min="14600" max="14600" width="7" style="1" bestFit="1" customWidth="1"/>
    <col min="14601" max="14601" width="9" style="1" bestFit="1" customWidth="1"/>
    <col min="14602" max="14602" width="8.85546875" style="1" bestFit="1" customWidth="1"/>
    <col min="14603" max="14603" width="8" style="1" bestFit="1" customWidth="1"/>
    <col min="14604" max="14605" width="5.85546875" style="1" customWidth="1"/>
    <col min="14606" max="14607" width="7.5703125" style="1" customWidth="1"/>
    <col min="14608" max="14608" width="7.42578125" style="1" customWidth="1"/>
    <col min="14609" max="14609" width="6.28515625" style="1" bestFit="1" customWidth="1"/>
    <col min="14610" max="14610" width="7.140625" style="1" bestFit="1" customWidth="1"/>
    <col min="14611" max="14612" width="5.5703125" style="1" bestFit="1" customWidth="1"/>
    <col min="14613" max="14614" width="6.28515625" style="1" customWidth="1"/>
    <col min="14615" max="14615" width="7.7109375" style="1" customWidth="1"/>
    <col min="14616" max="14847" width="9.140625" style="1"/>
    <col min="14848" max="14848" width="4.7109375" style="1" customWidth="1"/>
    <col min="14849" max="14849" width="16.28515625" style="1" customWidth="1"/>
    <col min="14850" max="14850" width="9.7109375" style="1" customWidth="1"/>
    <col min="14851" max="14852" width="5.5703125" style="1" bestFit="1" customWidth="1"/>
    <col min="14853" max="14853" width="6.5703125" style="1" bestFit="1" customWidth="1"/>
    <col min="14854" max="14854" width="6.85546875" style="1" bestFit="1" customWidth="1"/>
    <col min="14855" max="14855" width="7.140625" style="1" bestFit="1" customWidth="1"/>
    <col min="14856" max="14856" width="7" style="1" bestFit="1" customWidth="1"/>
    <col min="14857" max="14857" width="9" style="1" bestFit="1" customWidth="1"/>
    <col min="14858" max="14858" width="8.85546875" style="1" bestFit="1" customWidth="1"/>
    <col min="14859" max="14859" width="8" style="1" bestFit="1" customWidth="1"/>
    <col min="14860" max="14861" width="5.85546875" style="1" customWidth="1"/>
    <col min="14862" max="14863" width="7.5703125" style="1" customWidth="1"/>
    <col min="14864" max="14864" width="7.42578125" style="1" customWidth="1"/>
    <col min="14865" max="14865" width="6.28515625" style="1" bestFit="1" customWidth="1"/>
    <col min="14866" max="14866" width="7.140625" style="1" bestFit="1" customWidth="1"/>
    <col min="14867" max="14868" width="5.5703125" style="1" bestFit="1" customWidth="1"/>
    <col min="14869" max="14870" width="6.28515625" style="1" customWidth="1"/>
    <col min="14871" max="14871" width="7.7109375" style="1" customWidth="1"/>
    <col min="14872" max="15103" width="9.140625" style="1"/>
    <col min="15104" max="15104" width="4.7109375" style="1" customWidth="1"/>
    <col min="15105" max="15105" width="16.28515625" style="1" customWidth="1"/>
    <col min="15106" max="15106" width="9.7109375" style="1" customWidth="1"/>
    <col min="15107" max="15108" width="5.5703125" style="1" bestFit="1" customWidth="1"/>
    <col min="15109" max="15109" width="6.5703125" style="1" bestFit="1" customWidth="1"/>
    <col min="15110" max="15110" width="6.85546875" style="1" bestFit="1" customWidth="1"/>
    <col min="15111" max="15111" width="7.140625" style="1" bestFit="1" customWidth="1"/>
    <col min="15112" max="15112" width="7" style="1" bestFit="1" customWidth="1"/>
    <col min="15113" max="15113" width="9" style="1" bestFit="1" customWidth="1"/>
    <col min="15114" max="15114" width="8.85546875" style="1" bestFit="1" customWidth="1"/>
    <col min="15115" max="15115" width="8" style="1" bestFit="1" customWidth="1"/>
    <col min="15116" max="15117" width="5.85546875" style="1" customWidth="1"/>
    <col min="15118" max="15119" width="7.5703125" style="1" customWidth="1"/>
    <col min="15120" max="15120" width="7.42578125" style="1" customWidth="1"/>
    <col min="15121" max="15121" width="6.28515625" style="1" bestFit="1" customWidth="1"/>
    <col min="15122" max="15122" width="7.140625" style="1" bestFit="1" customWidth="1"/>
    <col min="15123" max="15124" width="5.5703125" style="1" bestFit="1" customWidth="1"/>
    <col min="15125" max="15126" width="6.28515625" style="1" customWidth="1"/>
    <col min="15127" max="15127" width="7.7109375" style="1" customWidth="1"/>
    <col min="15128" max="15359" width="9.140625" style="1"/>
    <col min="15360" max="15360" width="4.7109375" style="1" customWidth="1"/>
    <col min="15361" max="15361" width="16.28515625" style="1" customWidth="1"/>
    <col min="15362" max="15362" width="9.7109375" style="1" customWidth="1"/>
    <col min="15363" max="15364" width="5.5703125" style="1" bestFit="1" customWidth="1"/>
    <col min="15365" max="15365" width="6.5703125" style="1" bestFit="1" customWidth="1"/>
    <col min="15366" max="15366" width="6.85546875" style="1" bestFit="1" customWidth="1"/>
    <col min="15367" max="15367" width="7.140625" style="1" bestFit="1" customWidth="1"/>
    <col min="15368" max="15368" width="7" style="1" bestFit="1" customWidth="1"/>
    <col min="15369" max="15369" width="9" style="1" bestFit="1" customWidth="1"/>
    <col min="15370" max="15370" width="8.85546875" style="1" bestFit="1" customWidth="1"/>
    <col min="15371" max="15371" width="8" style="1" bestFit="1" customWidth="1"/>
    <col min="15372" max="15373" width="5.85546875" style="1" customWidth="1"/>
    <col min="15374" max="15375" width="7.5703125" style="1" customWidth="1"/>
    <col min="15376" max="15376" width="7.42578125" style="1" customWidth="1"/>
    <col min="15377" max="15377" width="6.28515625" style="1" bestFit="1" customWidth="1"/>
    <col min="15378" max="15378" width="7.140625" style="1" bestFit="1" customWidth="1"/>
    <col min="15379" max="15380" width="5.5703125" style="1" bestFit="1" customWidth="1"/>
    <col min="15381" max="15382" width="6.28515625" style="1" customWidth="1"/>
    <col min="15383" max="15383" width="7.7109375" style="1" customWidth="1"/>
    <col min="15384" max="15615" width="9.140625" style="1"/>
    <col min="15616" max="15616" width="4.7109375" style="1" customWidth="1"/>
    <col min="15617" max="15617" width="16.28515625" style="1" customWidth="1"/>
    <col min="15618" max="15618" width="9.7109375" style="1" customWidth="1"/>
    <col min="15619" max="15620" width="5.5703125" style="1" bestFit="1" customWidth="1"/>
    <col min="15621" max="15621" width="6.5703125" style="1" bestFit="1" customWidth="1"/>
    <col min="15622" max="15622" width="6.85546875" style="1" bestFit="1" customWidth="1"/>
    <col min="15623" max="15623" width="7.140625" style="1" bestFit="1" customWidth="1"/>
    <col min="15624" max="15624" width="7" style="1" bestFit="1" customWidth="1"/>
    <col min="15625" max="15625" width="9" style="1" bestFit="1" customWidth="1"/>
    <col min="15626" max="15626" width="8.85546875" style="1" bestFit="1" customWidth="1"/>
    <col min="15627" max="15627" width="8" style="1" bestFit="1" customWidth="1"/>
    <col min="15628" max="15629" width="5.85546875" style="1" customWidth="1"/>
    <col min="15630" max="15631" width="7.5703125" style="1" customWidth="1"/>
    <col min="15632" max="15632" width="7.42578125" style="1" customWidth="1"/>
    <col min="15633" max="15633" width="6.28515625" style="1" bestFit="1" customWidth="1"/>
    <col min="15634" max="15634" width="7.140625" style="1" bestFit="1" customWidth="1"/>
    <col min="15635" max="15636" width="5.5703125" style="1" bestFit="1" customWidth="1"/>
    <col min="15637" max="15638" width="6.28515625" style="1" customWidth="1"/>
    <col min="15639" max="15639" width="7.7109375" style="1" customWidth="1"/>
    <col min="15640" max="15871" width="9.140625" style="1"/>
    <col min="15872" max="15872" width="4.7109375" style="1" customWidth="1"/>
    <col min="15873" max="15873" width="16.28515625" style="1" customWidth="1"/>
    <col min="15874" max="15874" width="9.7109375" style="1" customWidth="1"/>
    <col min="15875" max="15876" width="5.5703125" style="1" bestFit="1" customWidth="1"/>
    <col min="15877" max="15877" width="6.5703125" style="1" bestFit="1" customWidth="1"/>
    <col min="15878" max="15878" width="6.85546875" style="1" bestFit="1" customWidth="1"/>
    <col min="15879" max="15879" width="7.140625" style="1" bestFit="1" customWidth="1"/>
    <col min="15880" max="15880" width="7" style="1" bestFit="1" customWidth="1"/>
    <col min="15881" max="15881" width="9" style="1" bestFit="1" customWidth="1"/>
    <col min="15882" max="15882" width="8.85546875" style="1" bestFit="1" customWidth="1"/>
    <col min="15883" max="15883" width="8" style="1" bestFit="1" customWidth="1"/>
    <col min="15884" max="15885" width="5.85546875" style="1" customWidth="1"/>
    <col min="15886" max="15887" width="7.5703125" style="1" customWidth="1"/>
    <col min="15888" max="15888" width="7.42578125" style="1" customWidth="1"/>
    <col min="15889" max="15889" width="6.28515625" style="1" bestFit="1" customWidth="1"/>
    <col min="15890" max="15890" width="7.140625" style="1" bestFit="1" customWidth="1"/>
    <col min="15891" max="15892" width="5.5703125" style="1" bestFit="1" customWidth="1"/>
    <col min="15893" max="15894" width="6.28515625" style="1" customWidth="1"/>
    <col min="15895" max="15895" width="7.7109375" style="1" customWidth="1"/>
    <col min="15896" max="16127" width="9.140625" style="1"/>
    <col min="16128" max="16128" width="4.7109375" style="1" customWidth="1"/>
    <col min="16129" max="16129" width="16.28515625" style="1" customWidth="1"/>
    <col min="16130" max="16130" width="9.7109375" style="1" customWidth="1"/>
    <col min="16131" max="16132" width="5.5703125" style="1" bestFit="1" customWidth="1"/>
    <col min="16133" max="16133" width="6.5703125" style="1" bestFit="1" customWidth="1"/>
    <col min="16134" max="16134" width="6.85546875" style="1" bestFit="1" customWidth="1"/>
    <col min="16135" max="16135" width="7.140625" style="1" bestFit="1" customWidth="1"/>
    <col min="16136" max="16136" width="7" style="1" bestFit="1" customWidth="1"/>
    <col min="16137" max="16137" width="9" style="1" bestFit="1" customWidth="1"/>
    <col min="16138" max="16138" width="8.85546875" style="1" bestFit="1" customWidth="1"/>
    <col min="16139" max="16139" width="8" style="1" bestFit="1" customWidth="1"/>
    <col min="16140" max="16141" width="5.85546875" style="1" customWidth="1"/>
    <col min="16142" max="16143" width="7.5703125" style="1" customWidth="1"/>
    <col min="16144" max="16144" width="7.42578125" style="1" customWidth="1"/>
    <col min="16145" max="16145" width="6.28515625" style="1" bestFit="1" customWidth="1"/>
    <col min="16146" max="16146" width="7.140625" style="1" bestFit="1" customWidth="1"/>
    <col min="16147" max="16148" width="5.5703125" style="1" bestFit="1" customWidth="1"/>
    <col min="16149" max="16150" width="6.28515625" style="1" customWidth="1"/>
    <col min="16151" max="16151" width="7.7109375" style="1" customWidth="1"/>
    <col min="16152" max="16384" width="9.140625" style="1"/>
  </cols>
  <sheetData>
    <row r="1" spans="1:25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593" t="s">
        <v>1027</v>
      </c>
      <c r="V1" s="1593"/>
      <c r="W1" s="1593"/>
    </row>
    <row r="2" spans="1:25" ht="39.75" customHeight="1">
      <c r="A2" s="1594" t="s">
        <v>1296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</row>
    <row r="3" spans="1:25" ht="15.75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4"/>
      <c r="V3" s="34"/>
      <c r="W3" s="626"/>
    </row>
    <row r="4" spans="1:25" ht="15.75">
      <c r="A4" s="1596" t="s">
        <v>1282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</row>
    <row r="5" spans="1:25" ht="12.75" customHeight="1">
      <c r="A5" s="38"/>
      <c r="B5" s="38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338"/>
      <c r="Q5" s="605"/>
      <c r="R5" s="605"/>
      <c r="S5" s="605"/>
      <c r="T5" s="605"/>
      <c r="U5" s="605"/>
      <c r="V5" s="1597" t="s">
        <v>296</v>
      </c>
      <c r="W5" s="1597"/>
    </row>
    <row r="6" spans="1:25" s="45" customFormat="1" ht="24" customHeight="1">
      <c r="A6" s="39" t="s">
        <v>297</v>
      </c>
      <c r="B6" s="40" t="s">
        <v>298</v>
      </c>
      <c r="C6" s="41" t="s">
        <v>299</v>
      </c>
      <c r="D6" s="41" t="s">
        <v>300</v>
      </c>
      <c r="E6" s="41" t="s">
        <v>301</v>
      </c>
      <c r="F6" s="41" t="s">
        <v>302</v>
      </c>
      <c r="G6" s="41" t="s">
        <v>303</v>
      </c>
      <c r="H6" s="41" t="s">
        <v>304</v>
      </c>
      <c r="I6" s="41" t="s">
        <v>149</v>
      </c>
      <c r="J6" s="41" t="s">
        <v>305</v>
      </c>
      <c r="K6" s="41" t="s">
        <v>306</v>
      </c>
      <c r="L6" s="41" t="s">
        <v>307</v>
      </c>
      <c r="M6" s="40" t="s">
        <v>825</v>
      </c>
      <c r="N6" s="40" t="s">
        <v>825</v>
      </c>
      <c r="O6" s="40" t="s">
        <v>825</v>
      </c>
      <c r="P6" s="48" t="s">
        <v>308</v>
      </c>
      <c r="Q6" s="41" t="s">
        <v>309</v>
      </c>
      <c r="R6" s="41" t="s">
        <v>310</v>
      </c>
      <c r="S6" s="41" t="s">
        <v>311</v>
      </c>
      <c r="T6" s="41" t="s">
        <v>312</v>
      </c>
      <c r="U6" s="40" t="s">
        <v>313</v>
      </c>
      <c r="V6" s="43" t="s">
        <v>1283</v>
      </c>
      <c r="W6" s="627" t="s">
        <v>294</v>
      </c>
    </row>
    <row r="7" spans="1:25" s="45" customFormat="1">
      <c r="A7" s="46" t="s">
        <v>314</v>
      </c>
      <c r="B7" s="47" t="s">
        <v>315</v>
      </c>
      <c r="C7" s="48"/>
      <c r="D7" s="48" t="s">
        <v>316</v>
      </c>
      <c r="E7" s="48" t="s">
        <v>317</v>
      </c>
      <c r="F7" s="48" t="s">
        <v>317</v>
      </c>
      <c r="G7" s="48" t="s">
        <v>318</v>
      </c>
      <c r="H7" s="48" t="s">
        <v>318</v>
      </c>
      <c r="I7" s="48" t="s">
        <v>318</v>
      </c>
      <c r="J7" s="48" t="s">
        <v>319</v>
      </c>
      <c r="K7" s="48" t="s">
        <v>320</v>
      </c>
      <c r="L7" s="48" t="s">
        <v>321</v>
      </c>
      <c r="M7" s="48" t="s">
        <v>322</v>
      </c>
      <c r="N7" s="48" t="s">
        <v>322</v>
      </c>
      <c r="O7" s="48" t="s">
        <v>322</v>
      </c>
      <c r="P7" s="48" t="s">
        <v>318</v>
      </c>
      <c r="Q7" s="48" t="s">
        <v>318</v>
      </c>
      <c r="R7" s="48" t="s">
        <v>318</v>
      </c>
      <c r="S7" s="48" t="s">
        <v>318</v>
      </c>
      <c r="T7" s="48" t="s">
        <v>318</v>
      </c>
      <c r="U7" s="47" t="s">
        <v>318</v>
      </c>
      <c r="V7" s="49" t="s">
        <v>318</v>
      </c>
      <c r="W7" s="628"/>
    </row>
    <row r="8" spans="1:25" s="45" customFormat="1">
      <c r="A8" s="46"/>
      <c r="B8" s="47"/>
      <c r="C8" s="48"/>
      <c r="D8" s="48" t="s">
        <v>318</v>
      </c>
      <c r="E8" s="48"/>
      <c r="F8" s="48"/>
      <c r="G8" s="48"/>
      <c r="H8" s="48"/>
      <c r="I8" s="48"/>
      <c r="J8" s="48" t="s">
        <v>318</v>
      </c>
      <c r="K8" s="48" t="s">
        <v>318</v>
      </c>
      <c r="L8" s="48"/>
      <c r="M8" s="51" t="s">
        <v>317</v>
      </c>
      <c r="N8" s="51" t="s">
        <v>317</v>
      </c>
      <c r="O8" s="51" t="s">
        <v>317</v>
      </c>
      <c r="P8" s="52" t="s">
        <v>160</v>
      </c>
      <c r="Q8" s="48"/>
      <c r="R8" s="48"/>
      <c r="S8" s="48" t="s">
        <v>160</v>
      </c>
      <c r="T8" s="48"/>
      <c r="U8" s="47" t="s">
        <v>160</v>
      </c>
      <c r="V8" s="49" t="s">
        <v>1284</v>
      </c>
      <c r="W8" s="628"/>
    </row>
    <row r="9" spans="1:25" s="45" customFormat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174">
        <v>2016</v>
      </c>
      <c r="N9" s="174">
        <v>2016</v>
      </c>
      <c r="O9" s="174">
        <v>2017</v>
      </c>
      <c r="P9" s="55"/>
      <c r="Q9" s="55"/>
      <c r="R9" s="55"/>
      <c r="S9" s="55"/>
      <c r="T9" s="55"/>
      <c r="U9" s="54"/>
      <c r="V9" s="56" t="s">
        <v>1285</v>
      </c>
      <c r="W9" s="629"/>
    </row>
    <row r="10" spans="1:25">
      <c r="A10" s="58">
        <v>1</v>
      </c>
      <c r="B10" s="59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0">
        <v>22</v>
      </c>
      <c r="W10" s="630">
        <v>23</v>
      </c>
    </row>
    <row r="11" spans="1:25" s="328" customFormat="1" ht="18" customHeight="1">
      <c r="A11" s="1598" t="s">
        <v>323</v>
      </c>
      <c r="B11" s="1599"/>
      <c r="C11" s="1599"/>
      <c r="D11" s="1599"/>
      <c r="E11" s="1599"/>
      <c r="F11" s="1599"/>
      <c r="G11" s="1599"/>
      <c r="H11" s="1599"/>
      <c r="I11" s="1599"/>
      <c r="J11" s="1599"/>
      <c r="K11" s="1599"/>
      <c r="L11" s="1599"/>
      <c r="M11" s="1599"/>
      <c r="N11" s="1599"/>
      <c r="O11" s="1599"/>
      <c r="P11" s="1599"/>
      <c r="Q11" s="1599"/>
      <c r="R11" s="1599"/>
      <c r="S11" s="1599"/>
      <c r="T11" s="1599"/>
      <c r="U11" s="1599"/>
      <c r="V11" s="1599"/>
      <c r="W11" s="1600"/>
    </row>
    <row r="12" spans="1:25" s="328" customFormat="1" ht="18" customHeight="1">
      <c r="A12" s="329"/>
      <c r="B12" s="330" t="s">
        <v>1286</v>
      </c>
      <c r="C12" s="607">
        <v>4.4404199999999996</v>
      </c>
      <c r="D12" s="607">
        <v>3.4200000000000001E-2</v>
      </c>
      <c r="E12" s="607">
        <v>3.585E-2</v>
      </c>
      <c r="F12" s="607">
        <v>0.33600000000000002</v>
      </c>
      <c r="G12" s="607">
        <v>0.94679400000000002</v>
      </c>
      <c r="H12" s="607">
        <v>0.24</v>
      </c>
      <c r="I12" s="607">
        <v>0.54912000000000005</v>
      </c>
      <c r="J12" s="607">
        <v>0.42</v>
      </c>
      <c r="K12" s="607">
        <v>0</v>
      </c>
      <c r="L12" s="607">
        <v>0</v>
      </c>
      <c r="M12" s="607">
        <v>0.348972</v>
      </c>
      <c r="N12" s="607">
        <v>0.41911199999999998</v>
      </c>
      <c r="O12" s="607">
        <v>0.41911199999999998</v>
      </c>
      <c r="P12" s="607">
        <v>0</v>
      </c>
      <c r="Q12" s="607">
        <v>0</v>
      </c>
      <c r="R12" s="607">
        <v>0</v>
      </c>
      <c r="S12" s="607">
        <v>0</v>
      </c>
      <c r="T12" s="607">
        <v>0</v>
      </c>
      <c r="U12" s="607">
        <v>0</v>
      </c>
      <c r="V12" s="607">
        <v>0.32400000000000001</v>
      </c>
      <c r="W12" s="608">
        <f>SUM(C12:V12)</f>
        <v>8.5135799999999993</v>
      </c>
      <c r="Y12" s="328">
        <f>W12-14.194</f>
        <v>-5.6804200000000016</v>
      </c>
    </row>
    <row r="13" spans="1:25" s="328" customFormat="1" ht="18" customHeight="1">
      <c r="A13" s="329"/>
      <c r="B13" s="330" t="s">
        <v>1287</v>
      </c>
      <c r="C13" s="607">
        <v>330.97908000000001</v>
      </c>
      <c r="D13" s="607">
        <v>0.1275</v>
      </c>
      <c r="E13" s="607">
        <v>0.11219999999999999</v>
      </c>
      <c r="F13" s="607">
        <v>1.4279999999999999</v>
      </c>
      <c r="G13" s="607">
        <v>66.817847999999998</v>
      </c>
      <c r="H13" s="607">
        <v>36.413747999999998</v>
      </c>
      <c r="I13" s="607">
        <v>89.688599999999994</v>
      </c>
      <c r="J13" s="607">
        <v>0.87</v>
      </c>
      <c r="K13" s="607">
        <v>1.41648</v>
      </c>
      <c r="L13" s="607">
        <v>0.25650000000000001</v>
      </c>
      <c r="M13" s="607">
        <v>24.988512</v>
      </c>
      <c r="N13" s="607">
        <v>31.821269999999998</v>
      </c>
      <c r="O13" s="607">
        <v>31.821269999999998</v>
      </c>
      <c r="P13" s="607">
        <v>0</v>
      </c>
      <c r="Q13" s="607">
        <v>3.7014</v>
      </c>
      <c r="R13" s="607">
        <v>0</v>
      </c>
      <c r="S13" s="607">
        <v>0</v>
      </c>
      <c r="T13" s="607">
        <v>0</v>
      </c>
      <c r="U13" s="607">
        <v>0</v>
      </c>
      <c r="V13" s="607">
        <v>0</v>
      </c>
      <c r="W13" s="608">
        <f>SUM(C13:V13)</f>
        <v>620.442408</v>
      </c>
    </row>
    <row r="14" spans="1:25" s="328" customFormat="1" ht="18" customHeight="1">
      <c r="A14" s="329"/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608"/>
    </row>
    <row r="15" spans="1:25" s="328" customFormat="1" ht="18" customHeight="1">
      <c r="A15" s="332"/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631"/>
    </row>
    <row r="16" spans="1:25" s="19" customFormat="1" ht="18" customHeight="1">
      <c r="A16" s="1578" t="s">
        <v>138</v>
      </c>
      <c r="B16" s="1579"/>
      <c r="C16" s="632">
        <f>SUM(C12:C15)</f>
        <v>335.41950000000003</v>
      </c>
      <c r="D16" s="632">
        <f t="shared" ref="D16:W16" si="0">SUM(D12:D15)</f>
        <v>0.16170000000000001</v>
      </c>
      <c r="E16" s="632">
        <f t="shared" si="0"/>
        <v>0.14804999999999999</v>
      </c>
      <c r="F16" s="632">
        <f t="shared" si="0"/>
        <v>1.764</v>
      </c>
      <c r="G16" s="632">
        <f t="shared" si="0"/>
        <v>67.764641999999995</v>
      </c>
      <c r="H16" s="632">
        <f t="shared" si="0"/>
        <v>36.653748</v>
      </c>
      <c r="I16" s="632">
        <f t="shared" si="0"/>
        <v>90.237719999999996</v>
      </c>
      <c r="J16" s="632">
        <f t="shared" si="0"/>
        <v>1.29</v>
      </c>
      <c r="K16" s="632">
        <f t="shared" si="0"/>
        <v>1.41648</v>
      </c>
      <c r="L16" s="632">
        <f t="shared" si="0"/>
        <v>0.25650000000000001</v>
      </c>
      <c r="M16" s="632">
        <f t="shared" si="0"/>
        <v>25.337484</v>
      </c>
      <c r="N16" s="632">
        <f t="shared" si="0"/>
        <v>32.240381999999997</v>
      </c>
      <c r="O16" s="632">
        <f t="shared" si="0"/>
        <v>32.240381999999997</v>
      </c>
      <c r="P16" s="632">
        <f t="shared" si="0"/>
        <v>0</v>
      </c>
      <c r="Q16" s="632">
        <f t="shared" si="0"/>
        <v>3.7014</v>
      </c>
      <c r="R16" s="632">
        <f t="shared" si="0"/>
        <v>0</v>
      </c>
      <c r="S16" s="632">
        <f t="shared" si="0"/>
        <v>0</v>
      </c>
      <c r="T16" s="632">
        <f t="shared" si="0"/>
        <v>0</v>
      </c>
      <c r="U16" s="632">
        <f t="shared" si="0"/>
        <v>0</v>
      </c>
      <c r="V16" s="632">
        <f t="shared" si="0"/>
        <v>0.32400000000000001</v>
      </c>
      <c r="W16" s="632">
        <f t="shared" si="0"/>
        <v>628.95598800000005</v>
      </c>
    </row>
    <row r="17" spans="1:23" s="328" customFormat="1" ht="18" customHeight="1">
      <c r="A17" s="1584" t="s">
        <v>1288</v>
      </c>
      <c r="B17" s="1585"/>
      <c r="C17" s="1585"/>
      <c r="D17" s="1585"/>
      <c r="E17" s="1585"/>
      <c r="F17" s="1585"/>
      <c r="G17" s="1585"/>
      <c r="H17" s="1585"/>
      <c r="I17" s="1585"/>
      <c r="J17" s="1585"/>
      <c r="K17" s="1585"/>
      <c r="L17" s="1585"/>
      <c r="M17" s="1585"/>
      <c r="N17" s="1585"/>
      <c r="O17" s="1585"/>
      <c r="P17" s="1585"/>
      <c r="Q17" s="1585"/>
      <c r="R17" s="1585"/>
      <c r="S17" s="1585"/>
      <c r="T17" s="1585"/>
      <c r="U17" s="1585"/>
      <c r="V17" s="1585"/>
      <c r="W17" s="1586"/>
    </row>
    <row r="18" spans="1:23" s="328" customFormat="1" ht="18" customHeight="1">
      <c r="A18" s="335"/>
      <c r="B18" s="606" t="s">
        <v>1286</v>
      </c>
      <c r="C18" s="607">
        <v>105.60438000000001</v>
      </c>
      <c r="D18" s="607">
        <v>0.54900000000000004</v>
      </c>
      <c r="E18" s="607">
        <v>0.441</v>
      </c>
      <c r="F18" s="607">
        <v>5.88</v>
      </c>
      <c r="G18" s="607">
        <v>15.20937</v>
      </c>
      <c r="H18" s="607">
        <v>5.61</v>
      </c>
      <c r="I18" s="607">
        <v>11.182079999999999</v>
      </c>
      <c r="J18" s="607">
        <v>6.06</v>
      </c>
      <c r="K18" s="607">
        <v>0.498</v>
      </c>
      <c r="L18" s="607">
        <v>1.7999999999999999E-2</v>
      </c>
      <c r="M18" s="607">
        <v>7.9818480000000003</v>
      </c>
      <c r="N18" s="607">
        <v>10.301208000000001</v>
      </c>
      <c r="O18" s="607">
        <v>10.301208000000001</v>
      </c>
      <c r="P18" s="607">
        <v>0</v>
      </c>
      <c r="Q18" s="607">
        <v>0</v>
      </c>
      <c r="R18" s="607">
        <v>0</v>
      </c>
      <c r="S18" s="607">
        <v>0</v>
      </c>
      <c r="T18" s="607">
        <v>0</v>
      </c>
      <c r="U18" s="607">
        <v>0</v>
      </c>
      <c r="V18" s="607">
        <v>1.944</v>
      </c>
      <c r="W18" s="608">
        <f>SUM(C18:V18)</f>
        <v>181.58009400000003</v>
      </c>
    </row>
    <row r="19" spans="1:23" s="328" customFormat="1" ht="18" customHeight="1">
      <c r="A19" s="329"/>
      <c r="B19" s="609" t="s">
        <v>1287</v>
      </c>
      <c r="C19" s="607">
        <v>34.474080000000001</v>
      </c>
      <c r="D19" s="607">
        <v>0</v>
      </c>
      <c r="E19" s="607">
        <v>0</v>
      </c>
      <c r="F19" s="607">
        <v>0</v>
      </c>
      <c r="G19" s="607">
        <v>9.386628</v>
      </c>
      <c r="H19" s="607">
        <v>4.0890899999999997</v>
      </c>
      <c r="I19" s="607">
        <v>9.1509420000000006</v>
      </c>
      <c r="J19" s="607">
        <v>0.33</v>
      </c>
      <c r="K19" s="607">
        <v>0</v>
      </c>
      <c r="L19" s="607">
        <v>4.4999999999999998E-2</v>
      </c>
      <c r="M19" s="607">
        <v>2.6151599999999999</v>
      </c>
      <c r="N19" s="607">
        <v>3.3687239999999998</v>
      </c>
      <c r="O19" s="607">
        <v>3.3687239999999998</v>
      </c>
      <c r="P19" s="607">
        <v>0</v>
      </c>
      <c r="Q19" s="607">
        <v>0.16200000000000001</v>
      </c>
      <c r="R19" s="607">
        <v>0</v>
      </c>
      <c r="S19" s="607">
        <v>0</v>
      </c>
      <c r="T19" s="607">
        <v>0</v>
      </c>
      <c r="U19" s="607">
        <v>0</v>
      </c>
      <c r="V19" s="607">
        <v>0</v>
      </c>
      <c r="W19" s="608">
        <f>SUM(C19:V19)</f>
        <v>66.990348000000012</v>
      </c>
    </row>
    <row r="20" spans="1:23" s="328" customFormat="1" ht="18" customHeight="1">
      <c r="A20" s="332"/>
      <c r="B20" s="333"/>
      <c r="C20" s="613">
        <f>SUM(C18:C19)</f>
        <v>140.07846000000001</v>
      </c>
      <c r="D20" s="613">
        <f t="shared" ref="D20:W20" si="1">SUM(D18:D19)</f>
        <v>0.54900000000000004</v>
      </c>
      <c r="E20" s="613">
        <f t="shared" si="1"/>
        <v>0.441</v>
      </c>
      <c r="F20" s="613">
        <f t="shared" si="1"/>
        <v>5.88</v>
      </c>
      <c r="G20" s="613">
        <f t="shared" si="1"/>
        <v>24.595998000000002</v>
      </c>
      <c r="H20" s="613">
        <f t="shared" si="1"/>
        <v>9.69909</v>
      </c>
      <c r="I20" s="613">
        <f t="shared" si="1"/>
        <v>20.333022</v>
      </c>
      <c r="J20" s="613">
        <f t="shared" si="1"/>
        <v>6.39</v>
      </c>
      <c r="K20" s="613">
        <f t="shared" si="1"/>
        <v>0.498</v>
      </c>
      <c r="L20" s="613">
        <f t="shared" si="1"/>
        <v>6.3E-2</v>
      </c>
      <c r="M20" s="613">
        <f t="shared" si="1"/>
        <v>10.597008000000001</v>
      </c>
      <c r="N20" s="613">
        <f t="shared" si="1"/>
        <v>13.669932000000001</v>
      </c>
      <c r="O20" s="613">
        <f t="shared" si="1"/>
        <v>13.669932000000001</v>
      </c>
      <c r="P20" s="613">
        <f t="shared" si="1"/>
        <v>0</v>
      </c>
      <c r="Q20" s="613">
        <f t="shared" si="1"/>
        <v>0.16200000000000001</v>
      </c>
      <c r="R20" s="613">
        <f t="shared" si="1"/>
        <v>0</v>
      </c>
      <c r="S20" s="613">
        <f t="shared" si="1"/>
        <v>0</v>
      </c>
      <c r="T20" s="613">
        <f t="shared" si="1"/>
        <v>0</v>
      </c>
      <c r="U20" s="613">
        <f t="shared" si="1"/>
        <v>0</v>
      </c>
      <c r="V20" s="613">
        <f t="shared" si="1"/>
        <v>1.944</v>
      </c>
      <c r="W20" s="613">
        <f t="shared" si="1"/>
        <v>248.57044200000004</v>
      </c>
    </row>
    <row r="21" spans="1:23" s="328" customFormat="1" ht="18" customHeight="1">
      <c r="A21" s="1584" t="s">
        <v>1289</v>
      </c>
      <c r="B21" s="1585"/>
      <c r="C21" s="1585"/>
      <c r="D21" s="1585"/>
      <c r="E21" s="1585"/>
      <c r="F21" s="1585"/>
      <c r="G21" s="1585"/>
      <c r="H21" s="1585"/>
      <c r="I21" s="1585"/>
      <c r="J21" s="1585"/>
      <c r="K21" s="1585"/>
      <c r="L21" s="1585"/>
      <c r="M21" s="1585"/>
      <c r="N21" s="1585"/>
      <c r="O21" s="1585"/>
      <c r="P21" s="1585"/>
      <c r="Q21" s="1585"/>
      <c r="R21" s="1585"/>
      <c r="S21" s="1585"/>
      <c r="T21" s="1585"/>
      <c r="U21" s="1585"/>
      <c r="V21" s="1585"/>
      <c r="W21" s="1586"/>
    </row>
    <row r="22" spans="1:23" s="328" customFormat="1" ht="18" customHeight="1">
      <c r="A22" s="332"/>
      <c r="B22" s="606" t="s">
        <v>1286</v>
      </c>
      <c r="C22" s="607">
        <v>34.080683999999998</v>
      </c>
      <c r="D22" s="607">
        <v>0.252</v>
      </c>
      <c r="E22" s="607">
        <v>0.16320000000000001</v>
      </c>
      <c r="F22" s="607">
        <v>2.6880000000000002</v>
      </c>
      <c r="G22" s="607">
        <v>4.0848959999999996</v>
      </c>
      <c r="H22" s="607">
        <v>1.23</v>
      </c>
      <c r="I22" s="607">
        <v>3.2947199999999999</v>
      </c>
      <c r="J22" s="607">
        <v>2.88</v>
      </c>
      <c r="K22" s="607">
        <v>0.318</v>
      </c>
      <c r="L22" s="607">
        <v>0</v>
      </c>
      <c r="M22" s="607">
        <v>2.5531199999999998</v>
      </c>
      <c r="N22" s="607">
        <v>3.3214800000000002</v>
      </c>
      <c r="O22" s="607">
        <v>3.3214800000000002</v>
      </c>
      <c r="P22" s="607">
        <v>0</v>
      </c>
      <c r="Q22" s="607">
        <v>0</v>
      </c>
      <c r="R22" s="607">
        <v>0</v>
      </c>
      <c r="S22" s="607">
        <v>0</v>
      </c>
      <c r="T22" s="607">
        <v>0</v>
      </c>
      <c r="U22" s="607">
        <v>0</v>
      </c>
      <c r="V22" s="607">
        <v>0.97199999999999998</v>
      </c>
      <c r="W22" s="608">
        <f>SUM(C22:V22)</f>
        <v>59.159580000000005</v>
      </c>
    </row>
    <row r="23" spans="1:23" s="328" customFormat="1" ht="18" customHeight="1">
      <c r="A23" s="332"/>
      <c r="B23" s="609" t="s">
        <v>1287</v>
      </c>
      <c r="C23" s="607">
        <v>15.58512</v>
      </c>
      <c r="D23" s="607">
        <v>1.2E-2</v>
      </c>
      <c r="E23" s="607">
        <v>0</v>
      </c>
      <c r="F23" s="607">
        <v>0</v>
      </c>
      <c r="G23" s="607">
        <v>3.4940039999999999</v>
      </c>
      <c r="H23" s="607">
        <v>1.7498279999999999</v>
      </c>
      <c r="I23" s="607">
        <v>3.781752</v>
      </c>
      <c r="J23" s="607">
        <v>0.12</v>
      </c>
      <c r="K23" s="607">
        <v>0</v>
      </c>
      <c r="L23" s="607">
        <v>8.9999999999999993E-3</v>
      </c>
      <c r="M23" s="607">
        <v>1.1856359999999999</v>
      </c>
      <c r="N23" s="607">
        <v>1.5242579999999999</v>
      </c>
      <c r="O23" s="607">
        <v>1.5242579999999999</v>
      </c>
      <c r="P23" s="607">
        <v>0</v>
      </c>
      <c r="Q23" s="607">
        <v>4.3200000000000002E-2</v>
      </c>
      <c r="R23" s="607">
        <v>0</v>
      </c>
      <c r="S23" s="607">
        <v>0</v>
      </c>
      <c r="T23" s="607">
        <v>0</v>
      </c>
      <c r="U23" s="607">
        <v>0</v>
      </c>
      <c r="V23" s="607">
        <v>0</v>
      </c>
      <c r="W23" s="608">
        <f>SUM(C23:V23)</f>
        <v>29.029056000000001</v>
      </c>
    </row>
    <row r="24" spans="1:23" s="328" customFormat="1" ht="18" customHeight="1">
      <c r="A24" s="1578" t="s">
        <v>138</v>
      </c>
      <c r="B24" s="1579"/>
      <c r="C24" s="616">
        <f>SUM(C22:C23)</f>
        <v>49.665803999999994</v>
      </c>
      <c r="D24" s="616">
        <f t="shared" ref="D24:W24" si="2">SUM(D22:D23)</f>
        <v>0.26400000000000001</v>
      </c>
      <c r="E24" s="616">
        <f t="shared" si="2"/>
        <v>0.16320000000000001</v>
      </c>
      <c r="F24" s="616">
        <f t="shared" si="2"/>
        <v>2.6880000000000002</v>
      </c>
      <c r="G24" s="616">
        <f t="shared" si="2"/>
        <v>7.5788999999999991</v>
      </c>
      <c r="H24" s="616">
        <f t="shared" si="2"/>
        <v>2.9798279999999999</v>
      </c>
      <c r="I24" s="616">
        <f t="shared" si="2"/>
        <v>7.0764719999999999</v>
      </c>
      <c r="J24" s="616">
        <f t="shared" si="2"/>
        <v>3</v>
      </c>
      <c r="K24" s="616">
        <f t="shared" si="2"/>
        <v>0.318</v>
      </c>
      <c r="L24" s="616">
        <f t="shared" si="2"/>
        <v>8.9999999999999993E-3</v>
      </c>
      <c r="M24" s="616">
        <f t="shared" si="2"/>
        <v>3.7387559999999995</v>
      </c>
      <c r="N24" s="616">
        <f t="shared" si="2"/>
        <v>4.8457379999999999</v>
      </c>
      <c r="O24" s="616">
        <f t="shared" si="2"/>
        <v>4.8457379999999999</v>
      </c>
      <c r="P24" s="616">
        <f t="shared" si="2"/>
        <v>0</v>
      </c>
      <c r="Q24" s="616">
        <f t="shared" si="2"/>
        <v>4.3200000000000002E-2</v>
      </c>
      <c r="R24" s="616">
        <f t="shared" si="2"/>
        <v>0</v>
      </c>
      <c r="S24" s="616">
        <f t="shared" si="2"/>
        <v>0</v>
      </c>
      <c r="T24" s="616">
        <f t="shared" si="2"/>
        <v>0</v>
      </c>
      <c r="U24" s="616">
        <f t="shared" si="2"/>
        <v>0</v>
      </c>
      <c r="V24" s="616">
        <f t="shared" si="2"/>
        <v>0.97199999999999998</v>
      </c>
      <c r="W24" s="616">
        <f t="shared" si="2"/>
        <v>88.188636000000002</v>
      </c>
    </row>
    <row r="25" spans="1:23" s="328" customFormat="1" ht="18" customHeight="1">
      <c r="A25" s="1584" t="s">
        <v>453</v>
      </c>
      <c r="B25" s="1585"/>
      <c r="C25" s="1585"/>
      <c r="D25" s="1585"/>
      <c r="E25" s="1585"/>
      <c r="F25" s="1585"/>
      <c r="G25" s="1585"/>
      <c r="H25" s="1585"/>
      <c r="I25" s="1585"/>
      <c r="J25" s="1585"/>
      <c r="K25" s="1585"/>
      <c r="L25" s="1585"/>
      <c r="M25" s="1585"/>
      <c r="N25" s="1585"/>
      <c r="O25" s="1585"/>
      <c r="P25" s="1585"/>
      <c r="Q25" s="1585"/>
      <c r="R25" s="1585"/>
      <c r="S25" s="1585"/>
      <c r="T25" s="1585"/>
      <c r="U25" s="1585"/>
      <c r="V25" s="1585"/>
      <c r="W25" s="1586"/>
    </row>
    <row r="26" spans="1:23" s="328" customFormat="1" ht="18" customHeight="1">
      <c r="A26" s="332"/>
      <c r="B26" s="606" t="s">
        <v>1286</v>
      </c>
      <c r="C26" s="607">
        <v>44.169119999999999</v>
      </c>
      <c r="D26" s="607">
        <v>0.2268</v>
      </c>
      <c r="E26" s="607">
        <v>0.17610000000000001</v>
      </c>
      <c r="F26" s="607">
        <v>2.3519999999999999</v>
      </c>
      <c r="G26" s="607">
        <v>7.0308359999999999</v>
      </c>
      <c r="H26" s="607">
        <v>2.13</v>
      </c>
      <c r="I26" s="607">
        <v>4.29312</v>
      </c>
      <c r="J26" s="607">
        <v>2.34</v>
      </c>
      <c r="K26" s="607">
        <v>0.29699999999999999</v>
      </c>
      <c r="L26" s="607">
        <v>0</v>
      </c>
      <c r="M26" s="607">
        <v>3.3289559999999998</v>
      </c>
      <c r="N26" s="607">
        <v>4.3041960000000001</v>
      </c>
      <c r="O26" s="607">
        <v>4.3041960000000001</v>
      </c>
      <c r="P26" s="607">
        <v>0</v>
      </c>
      <c r="Q26" s="607">
        <v>0</v>
      </c>
      <c r="R26" s="607">
        <v>0</v>
      </c>
      <c r="S26" s="607">
        <v>0</v>
      </c>
      <c r="T26" s="607">
        <v>0</v>
      </c>
      <c r="U26" s="607">
        <v>0</v>
      </c>
      <c r="V26" s="607">
        <v>0.91800000000000004</v>
      </c>
      <c r="W26" s="608">
        <f>SUM(C26:V26)</f>
        <v>75.870324000000011</v>
      </c>
    </row>
    <row r="27" spans="1:23" s="328" customFormat="1" ht="18" customHeight="1">
      <c r="A27" s="332"/>
      <c r="B27" s="609" t="s">
        <v>1287</v>
      </c>
      <c r="C27" s="607">
        <v>21.48612</v>
      </c>
      <c r="D27" s="607">
        <v>0</v>
      </c>
      <c r="E27" s="607">
        <v>0</v>
      </c>
      <c r="F27" s="607">
        <v>0</v>
      </c>
      <c r="G27" s="607">
        <v>5.2699680000000004</v>
      </c>
      <c r="H27" s="607">
        <v>2.5506120000000001</v>
      </c>
      <c r="I27" s="607">
        <v>5.5410779999999997</v>
      </c>
      <c r="J27" s="607">
        <v>0.15</v>
      </c>
      <c r="K27" s="607">
        <v>0</v>
      </c>
      <c r="L27" s="607">
        <v>1.7999999999999999E-2</v>
      </c>
      <c r="M27" s="607">
        <v>1.620738</v>
      </c>
      <c r="N27" s="607">
        <v>2.1024780000000001</v>
      </c>
      <c r="O27" s="607">
        <v>2.1024780000000001</v>
      </c>
      <c r="P27" s="607">
        <v>0</v>
      </c>
      <c r="Q27" s="607">
        <v>0.1026</v>
      </c>
      <c r="R27" s="607">
        <v>0</v>
      </c>
      <c r="S27" s="607">
        <v>0</v>
      </c>
      <c r="T27" s="607">
        <v>0</v>
      </c>
      <c r="U27" s="607">
        <v>0</v>
      </c>
      <c r="V27" s="607">
        <v>0</v>
      </c>
      <c r="W27" s="608">
        <f>SUM(C27:V27)</f>
        <v>40.944071999999998</v>
      </c>
    </row>
    <row r="28" spans="1:23" s="328" customFormat="1" ht="18" customHeight="1">
      <c r="A28" s="1578" t="s">
        <v>138</v>
      </c>
      <c r="B28" s="1579"/>
      <c r="C28" s="616">
        <f>SUM(C26:C27)</f>
        <v>65.655239999999992</v>
      </c>
      <c r="D28" s="616">
        <f t="shared" ref="D28:W28" si="3">SUM(D26:D27)</f>
        <v>0.2268</v>
      </c>
      <c r="E28" s="616">
        <f t="shared" si="3"/>
        <v>0.17610000000000001</v>
      </c>
      <c r="F28" s="616">
        <f t="shared" si="3"/>
        <v>2.3519999999999999</v>
      </c>
      <c r="G28" s="616">
        <f t="shared" si="3"/>
        <v>12.300803999999999</v>
      </c>
      <c r="H28" s="616">
        <f t="shared" si="3"/>
        <v>4.680612</v>
      </c>
      <c r="I28" s="616">
        <f t="shared" si="3"/>
        <v>9.8341980000000007</v>
      </c>
      <c r="J28" s="616">
        <f t="shared" si="3"/>
        <v>2.4899999999999998</v>
      </c>
      <c r="K28" s="616">
        <f t="shared" si="3"/>
        <v>0.29699999999999999</v>
      </c>
      <c r="L28" s="616">
        <f t="shared" si="3"/>
        <v>1.7999999999999999E-2</v>
      </c>
      <c r="M28" s="616">
        <f t="shared" si="3"/>
        <v>4.949694</v>
      </c>
      <c r="N28" s="616">
        <f t="shared" si="3"/>
        <v>6.4066740000000006</v>
      </c>
      <c r="O28" s="616">
        <f t="shared" si="3"/>
        <v>6.4066740000000006</v>
      </c>
      <c r="P28" s="616">
        <f t="shared" si="3"/>
        <v>0</v>
      </c>
      <c r="Q28" s="616">
        <f t="shared" si="3"/>
        <v>0.1026</v>
      </c>
      <c r="R28" s="616">
        <f t="shared" si="3"/>
        <v>0</v>
      </c>
      <c r="S28" s="616">
        <f t="shared" si="3"/>
        <v>0</v>
      </c>
      <c r="T28" s="616">
        <f t="shared" si="3"/>
        <v>0</v>
      </c>
      <c r="U28" s="616">
        <f t="shared" si="3"/>
        <v>0</v>
      </c>
      <c r="V28" s="616">
        <f t="shared" si="3"/>
        <v>0.91800000000000004</v>
      </c>
      <c r="W28" s="616">
        <f t="shared" si="3"/>
        <v>116.81439600000002</v>
      </c>
    </row>
    <row r="29" spans="1:23" s="328" customFormat="1" ht="18" customHeight="1">
      <c r="A29" s="1584" t="s">
        <v>1290</v>
      </c>
      <c r="B29" s="1585"/>
      <c r="C29" s="1585"/>
      <c r="D29" s="1585"/>
      <c r="E29" s="1585"/>
      <c r="F29" s="1585"/>
      <c r="G29" s="1585"/>
      <c r="H29" s="1585"/>
      <c r="I29" s="1585"/>
      <c r="J29" s="1585"/>
      <c r="K29" s="1585"/>
      <c r="L29" s="1585"/>
      <c r="M29" s="1585"/>
      <c r="N29" s="1585"/>
      <c r="O29" s="1585"/>
      <c r="P29" s="1585"/>
      <c r="Q29" s="1585"/>
      <c r="R29" s="1585"/>
      <c r="S29" s="1585"/>
      <c r="T29" s="1585"/>
      <c r="U29" s="1585"/>
      <c r="V29" s="1585"/>
      <c r="W29" s="1586"/>
    </row>
    <row r="30" spans="1:23" s="328" customFormat="1" ht="18" customHeight="1">
      <c r="A30" s="329"/>
      <c r="B30" s="606" t="s">
        <v>1286</v>
      </c>
      <c r="C30" s="607">
        <v>79.917456000000001</v>
      </c>
      <c r="D30" s="607">
        <v>0.3009</v>
      </c>
      <c r="E30" s="607">
        <v>0.38279999999999997</v>
      </c>
      <c r="F30" s="607">
        <v>3.2759999999999998</v>
      </c>
      <c r="G30" s="607">
        <v>12.664536</v>
      </c>
      <c r="H30" s="607">
        <v>4.83</v>
      </c>
      <c r="I30" s="607">
        <v>8.4039479999999998</v>
      </c>
      <c r="J30" s="607">
        <v>5.22</v>
      </c>
      <c r="K30" s="607">
        <v>0.19800000000000001</v>
      </c>
      <c r="L30" s="607">
        <v>0.28799999999999998</v>
      </c>
      <c r="M30" s="607">
        <v>6.0318420000000001</v>
      </c>
      <c r="N30" s="607">
        <v>7.8112979999999999</v>
      </c>
      <c r="O30" s="607">
        <v>7.8112979999999999</v>
      </c>
      <c r="P30" s="607">
        <v>0</v>
      </c>
      <c r="Q30" s="607">
        <v>0</v>
      </c>
      <c r="R30" s="607">
        <v>0</v>
      </c>
      <c r="S30" s="607">
        <v>0</v>
      </c>
      <c r="T30" s="607">
        <v>0</v>
      </c>
      <c r="U30" s="607">
        <v>0</v>
      </c>
      <c r="V30" s="607">
        <v>0.32400000000000001</v>
      </c>
      <c r="W30" s="608">
        <f>SUM(C30:V30)</f>
        <v>137.46007799999998</v>
      </c>
    </row>
    <row r="31" spans="1:23" s="328" customFormat="1" ht="18" customHeight="1">
      <c r="A31" s="332"/>
      <c r="B31" s="609" t="s">
        <v>1287</v>
      </c>
      <c r="C31" s="607">
        <v>28.560120000000001</v>
      </c>
      <c r="D31" s="607">
        <v>0</v>
      </c>
      <c r="E31" s="607">
        <v>3.0000000000000001E-3</v>
      </c>
      <c r="F31" s="607">
        <v>0</v>
      </c>
      <c r="G31" s="607">
        <v>7.862082</v>
      </c>
      <c r="H31" s="607">
        <v>3.521058</v>
      </c>
      <c r="I31" s="607">
        <v>7.5422520000000004</v>
      </c>
      <c r="J31" s="607">
        <v>0.03</v>
      </c>
      <c r="K31" s="607">
        <v>0</v>
      </c>
      <c r="L31" s="607">
        <v>2.7E-2</v>
      </c>
      <c r="M31" s="607">
        <v>2.1727439999999998</v>
      </c>
      <c r="N31" s="607">
        <v>2.7891300000000001</v>
      </c>
      <c r="O31" s="607">
        <v>2.7891300000000001</v>
      </c>
      <c r="P31" s="607">
        <v>0</v>
      </c>
      <c r="Q31" s="607">
        <v>0.1011</v>
      </c>
      <c r="R31" s="607">
        <v>0</v>
      </c>
      <c r="S31" s="607">
        <v>0</v>
      </c>
      <c r="T31" s="607">
        <v>0</v>
      </c>
      <c r="U31" s="607">
        <v>0</v>
      </c>
      <c r="V31" s="607">
        <v>0</v>
      </c>
      <c r="W31" s="608">
        <f>SUM(C31:V31)</f>
        <v>55.397615999999999</v>
      </c>
    </row>
    <row r="32" spans="1:23" s="328" customFormat="1" ht="18" customHeight="1">
      <c r="A32" s="1578" t="s">
        <v>138</v>
      </c>
      <c r="B32" s="1579"/>
      <c r="C32" s="616">
        <f>SUM(C30:C31)</f>
        <v>108.477576</v>
      </c>
      <c r="D32" s="616">
        <f t="shared" ref="D32:W32" si="4">SUM(D30:D31)</f>
        <v>0.3009</v>
      </c>
      <c r="E32" s="616">
        <f t="shared" si="4"/>
        <v>0.38579999999999998</v>
      </c>
      <c r="F32" s="616">
        <f t="shared" si="4"/>
        <v>3.2759999999999998</v>
      </c>
      <c r="G32" s="616">
        <f t="shared" si="4"/>
        <v>20.526617999999999</v>
      </c>
      <c r="H32" s="616">
        <f t="shared" si="4"/>
        <v>8.3510580000000001</v>
      </c>
      <c r="I32" s="616">
        <f t="shared" si="4"/>
        <v>15.946200000000001</v>
      </c>
      <c r="J32" s="616">
        <f t="shared" si="4"/>
        <v>5.25</v>
      </c>
      <c r="K32" s="616">
        <f t="shared" si="4"/>
        <v>0.19800000000000001</v>
      </c>
      <c r="L32" s="616">
        <f t="shared" si="4"/>
        <v>0.315</v>
      </c>
      <c r="M32" s="616">
        <f t="shared" si="4"/>
        <v>8.204585999999999</v>
      </c>
      <c r="N32" s="616">
        <f t="shared" si="4"/>
        <v>10.600428000000001</v>
      </c>
      <c r="O32" s="616">
        <f t="shared" si="4"/>
        <v>10.600428000000001</v>
      </c>
      <c r="P32" s="616">
        <f t="shared" si="4"/>
        <v>0</v>
      </c>
      <c r="Q32" s="616">
        <f t="shared" si="4"/>
        <v>0.1011</v>
      </c>
      <c r="R32" s="616">
        <f t="shared" si="4"/>
        <v>0</v>
      </c>
      <c r="S32" s="616">
        <f t="shared" si="4"/>
        <v>0</v>
      </c>
      <c r="T32" s="616">
        <f t="shared" si="4"/>
        <v>0</v>
      </c>
      <c r="U32" s="616">
        <f t="shared" si="4"/>
        <v>0</v>
      </c>
      <c r="V32" s="616">
        <f t="shared" si="4"/>
        <v>0.32400000000000001</v>
      </c>
      <c r="W32" s="616">
        <f t="shared" si="4"/>
        <v>192.85769399999998</v>
      </c>
    </row>
    <row r="33" spans="1:23" s="328" customFormat="1" ht="18" customHeight="1">
      <c r="A33" s="1584" t="s">
        <v>1291</v>
      </c>
      <c r="B33" s="1585"/>
      <c r="C33" s="1585"/>
      <c r="D33" s="1585"/>
      <c r="E33" s="1585"/>
      <c r="F33" s="1585"/>
      <c r="G33" s="1585"/>
      <c r="H33" s="1585"/>
      <c r="I33" s="1585"/>
      <c r="J33" s="1585"/>
      <c r="K33" s="1585"/>
      <c r="L33" s="1585"/>
      <c r="M33" s="1585"/>
      <c r="N33" s="1585"/>
      <c r="O33" s="1585"/>
      <c r="P33" s="1585"/>
      <c r="Q33" s="1585"/>
      <c r="R33" s="1585"/>
      <c r="S33" s="1585"/>
      <c r="T33" s="1585"/>
      <c r="U33" s="1585"/>
      <c r="V33" s="1585"/>
      <c r="W33" s="1586"/>
    </row>
    <row r="34" spans="1:23" s="328" customFormat="1" ht="18" customHeight="1">
      <c r="A34" s="329"/>
      <c r="B34" s="606" t="s">
        <v>1286</v>
      </c>
      <c r="C34" s="607">
        <v>113.65398</v>
      </c>
      <c r="D34" s="607">
        <v>0.4083</v>
      </c>
      <c r="E34" s="607">
        <v>0.41160000000000002</v>
      </c>
      <c r="F34" s="607">
        <v>4.452</v>
      </c>
      <c r="G34" s="607">
        <v>18.276762000000002</v>
      </c>
      <c r="H34" s="607">
        <v>6.51</v>
      </c>
      <c r="I34" s="607">
        <v>12.080640000000001</v>
      </c>
      <c r="J34" s="607">
        <v>4.92</v>
      </c>
      <c r="K34" s="607">
        <v>0.25800000000000001</v>
      </c>
      <c r="L34" s="607">
        <v>1.7999999999999999E-2</v>
      </c>
      <c r="M34" s="607">
        <v>8.5648800000000005</v>
      </c>
      <c r="N34" s="607">
        <v>11.113908</v>
      </c>
      <c r="O34" s="607">
        <v>11.113908</v>
      </c>
      <c r="P34" s="607">
        <v>0</v>
      </c>
      <c r="Q34" s="607">
        <v>0</v>
      </c>
      <c r="R34" s="607">
        <v>0</v>
      </c>
      <c r="S34" s="607">
        <v>0</v>
      </c>
      <c r="T34" s="607">
        <v>0</v>
      </c>
      <c r="U34" s="607">
        <v>0</v>
      </c>
      <c r="V34" s="607">
        <v>0.86399999999999999</v>
      </c>
      <c r="W34" s="608">
        <f>SUM(C34:V34)</f>
        <v>192.64597799999999</v>
      </c>
    </row>
    <row r="35" spans="1:23" s="328" customFormat="1" ht="18" customHeight="1">
      <c r="A35" s="332"/>
      <c r="B35" s="609" t="s">
        <v>1287</v>
      </c>
      <c r="C35" s="607">
        <v>31.235759999999999</v>
      </c>
      <c r="D35" s="607">
        <v>0</v>
      </c>
      <c r="E35" s="607">
        <v>0</v>
      </c>
      <c r="F35" s="607">
        <v>0</v>
      </c>
      <c r="G35" s="607">
        <v>7.5429839999999997</v>
      </c>
      <c r="H35" s="607">
        <v>3.7766639999999998</v>
      </c>
      <c r="I35" s="607">
        <v>8.4885660000000005</v>
      </c>
      <c r="J35" s="607">
        <v>0.03</v>
      </c>
      <c r="K35" s="607">
        <v>0</v>
      </c>
      <c r="L35" s="607">
        <v>4.0500000000000001E-2</v>
      </c>
      <c r="M35" s="607">
        <v>2.3932799999999999</v>
      </c>
      <c r="N35" s="607">
        <v>3.0522360000000002</v>
      </c>
      <c r="O35" s="607">
        <v>3.0522360000000002</v>
      </c>
      <c r="P35" s="607">
        <v>0</v>
      </c>
      <c r="Q35" s="607">
        <v>0.16200000000000001</v>
      </c>
      <c r="R35" s="607">
        <v>0</v>
      </c>
      <c r="S35" s="607">
        <v>0</v>
      </c>
      <c r="T35" s="607">
        <v>0</v>
      </c>
      <c r="U35" s="607">
        <v>0</v>
      </c>
      <c r="V35" s="607">
        <v>0</v>
      </c>
      <c r="W35" s="608">
        <f>SUM(C35:V35)</f>
        <v>59.774225999999992</v>
      </c>
    </row>
    <row r="36" spans="1:23" s="328" customFormat="1" ht="18" customHeight="1">
      <c r="A36" s="1578" t="s">
        <v>138</v>
      </c>
      <c r="B36" s="1579"/>
      <c r="C36" s="616">
        <f>SUM(C34:C35)</f>
        <v>144.88974000000002</v>
      </c>
      <c r="D36" s="616">
        <f t="shared" ref="D36:W36" si="5">SUM(D34:D35)</f>
        <v>0.4083</v>
      </c>
      <c r="E36" s="616">
        <f t="shared" si="5"/>
        <v>0.41160000000000002</v>
      </c>
      <c r="F36" s="616">
        <f t="shared" si="5"/>
        <v>4.452</v>
      </c>
      <c r="G36" s="616">
        <f t="shared" si="5"/>
        <v>25.819746000000002</v>
      </c>
      <c r="H36" s="616">
        <f t="shared" si="5"/>
        <v>10.286664</v>
      </c>
      <c r="I36" s="616">
        <f t="shared" si="5"/>
        <v>20.569206000000001</v>
      </c>
      <c r="J36" s="616">
        <f t="shared" si="5"/>
        <v>4.95</v>
      </c>
      <c r="K36" s="616">
        <f t="shared" si="5"/>
        <v>0.25800000000000001</v>
      </c>
      <c r="L36" s="616">
        <f t="shared" si="5"/>
        <v>5.8499999999999996E-2</v>
      </c>
      <c r="M36" s="616">
        <f t="shared" si="5"/>
        <v>10.958159999999999</v>
      </c>
      <c r="N36" s="616">
        <f t="shared" si="5"/>
        <v>14.166144000000001</v>
      </c>
      <c r="O36" s="616">
        <f t="shared" si="5"/>
        <v>14.166144000000001</v>
      </c>
      <c r="P36" s="616">
        <f t="shared" si="5"/>
        <v>0</v>
      </c>
      <c r="Q36" s="616">
        <f t="shared" si="5"/>
        <v>0.16200000000000001</v>
      </c>
      <c r="R36" s="616">
        <f t="shared" si="5"/>
        <v>0</v>
      </c>
      <c r="S36" s="616">
        <f t="shared" si="5"/>
        <v>0</v>
      </c>
      <c r="T36" s="616">
        <f t="shared" si="5"/>
        <v>0</v>
      </c>
      <c r="U36" s="616">
        <f t="shared" si="5"/>
        <v>0</v>
      </c>
      <c r="V36" s="616">
        <f t="shared" si="5"/>
        <v>0.86399999999999999</v>
      </c>
      <c r="W36" s="616">
        <f t="shared" si="5"/>
        <v>252.42020399999998</v>
      </c>
    </row>
    <row r="37" spans="1:23" s="328" customFormat="1" ht="18" customHeight="1">
      <c r="A37" s="1584" t="s">
        <v>1292</v>
      </c>
      <c r="B37" s="1585"/>
      <c r="C37" s="1585"/>
      <c r="D37" s="1585"/>
      <c r="E37" s="1585"/>
      <c r="F37" s="1585"/>
      <c r="G37" s="1585"/>
      <c r="H37" s="1585"/>
      <c r="I37" s="1585"/>
      <c r="J37" s="1585"/>
      <c r="K37" s="1585"/>
      <c r="L37" s="1585"/>
      <c r="M37" s="1585"/>
      <c r="N37" s="1585"/>
      <c r="O37" s="1585"/>
      <c r="P37" s="1585"/>
      <c r="Q37" s="1585"/>
      <c r="R37" s="1585"/>
      <c r="S37" s="1585"/>
      <c r="T37" s="1585"/>
      <c r="U37" s="1585"/>
      <c r="V37" s="1585"/>
      <c r="W37" s="1586"/>
    </row>
    <row r="38" spans="1:23" s="328" customFormat="1" ht="18" customHeight="1">
      <c r="A38" s="611"/>
      <c r="B38" s="612" t="s">
        <v>1286</v>
      </c>
      <c r="C38" s="607">
        <v>154.31532000000001</v>
      </c>
      <c r="D38" s="607">
        <v>0.83160000000000001</v>
      </c>
      <c r="E38" s="607">
        <v>0.74850000000000005</v>
      </c>
      <c r="F38" s="607">
        <v>9.1199999999999992</v>
      </c>
      <c r="G38" s="607">
        <v>22.399716000000002</v>
      </c>
      <c r="H38" s="607">
        <v>7.89</v>
      </c>
      <c r="I38" s="607">
        <v>15.82464</v>
      </c>
      <c r="J38" s="607">
        <v>11.52</v>
      </c>
      <c r="K38" s="607">
        <v>0.48599999999999999</v>
      </c>
      <c r="L38" s="607">
        <v>0</v>
      </c>
      <c r="M38" s="607">
        <v>11.586347999999999</v>
      </c>
      <c r="N38" s="607">
        <v>15.03459</v>
      </c>
      <c r="O38" s="607">
        <v>15.03459</v>
      </c>
      <c r="P38" s="607">
        <v>0</v>
      </c>
      <c r="Q38" s="607">
        <v>0</v>
      </c>
      <c r="R38" s="607">
        <v>0</v>
      </c>
      <c r="S38" s="607">
        <v>0</v>
      </c>
      <c r="T38" s="607">
        <v>0</v>
      </c>
      <c r="U38" s="607">
        <v>0</v>
      </c>
      <c r="V38" s="607">
        <v>2.5379999999999998</v>
      </c>
      <c r="W38" s="608">
        <f>SUM(C38:V38)</f>
        <v>267.32930400000004</v>
      </c>
    </row>
    <row r="39" spans="1:23" s="328" customFormat="1" ht="18" customHeight="1">
      <c r="A39" s="614"/>
      <c r="B39" s="615" t="s">
        <v>1287</v>
      </c>
      <c r="C39" s="607">
        <v>52.188540000000003</v>
      </c>
      <c r="D39" s="607">
        <v>0</v>
      </c>
      <c r="E39" s="607">
        <v>0</v>
      </c>
      <c r="F39" s="607">
        <v>0</v>
      </c>
      <c r="G39" s="607">
        <v>13.012320000000001</v>
      </c>
      <c r="H39" s="607">
        <v>6.8102039999999997</v>
      </c>
      <c r="I39" s="607">
        <v>14.591472</v>
      </c>
      <c r="J39" s="607">
        <v>0.06</v>
      </c>
      <c r="K39" s="607">
        <v>0</v>
      </c>
      <c r="L39" s="607">
        <v>2.7E-2</v>
      </c>
      <c r="M39" s="607">
        <v>3.9979200000000001</v>
      </c>
      <c r="N39" s="607">
        <v>5.0944979999999997</v>
      </c>
      <c r="O39" s="607">
        <v>5.0944979999999997</v>
      </c>
      <c r="P39" s="607">
        <v>0.44130000000000003</v>
      </c>
      <c r="Q39" s="607">
        <v>0</v>
      </c>
      <c r="R39" s="607">
        <v>0</v>
      </c>
      <c r="S39" s="607">
        <v>0</v>
      </c>
      <c r="T39" s="607">
        <v>0</v>
      </c>
      <c r="U39" s="607">
        <v>0</v>
      </c>
      <c r="V39" s="607">
        <v>0</v>
      </c>
      <c r="W39" s="608">
        <f>SUM(C39:V39)</f>
        <v>101.317752</v>
      </c>
    </row>
    <row r="40" spans="1:23" s="328" customFormat="1" ht="18" customHeight="1">
      <c r="A40" s="1587" t="s">
        <v>138</v>
      </c>
      <c r="B40" s="1588"/>
      <c r="C40" s="616">
        <f>SUM(C38:C39)</f>
        <v>206.50386000000003</v>
      </c>
      <c r="D40" s="616">
        <f t="shared" ref="D40:W40" si="6">SUM(D38:D39)</f>
        <v>0.83160000000000001</v>
      </c>
      <c r="E40" s="616">
        <f t="shared" si="6"/>
        <v>0.74850000000000005</v>
      </c>
      <c r="F40" s="616">
        <f t="shared" si="6"/>
        <v>9.1199999999999992</v>
      </c>
      <c r="G40" s="616">
        <f t="shared" si="6"/>
        <v>35.412036000000001</v>
      </c>
      <c r="H40" s="616">
        <f t="shared" si="6"/>
        <v>14.700203999999999</v>
      </c>
      <c r="I40" s="616">
        <f t="shared" si="6"/>
        <v>30.416111999999998</v>
      </c>
      <c r="J40" s="616">
        <f t="shared" si="6"/>
        <v>11.58</v>
      </c>
      <c r="K40" s="616">
        <f t="shared" si="6"/>
        <v>0.48599999999999999</v>
      </c>
      <c r="L40" s="616">
        <f t="shared" si="6"/>
        <v>2.7E-2</v>
      </c>
      <c r="M40" s="616">
        <f t="shared" si="6"/>
        <v>15.584268</v>
      </c>
      <c r="N40" s="616">
        <f t="shared" si="6"/>
        <v>20.129087999999999</v>
      </c>
      <c r="O40" s="616">
        <f t="shared" si="6"/>
        <v>20.129087999999999</v>
      </c>
      <c r="P40" s="616">
        <f t="shared" si="6"/>
        <v>0.44130000000000003</v>
      </c>
      <c r="Q40" s="616">
        <f t="shared" si="6"/>
        <v>0</v>
      </c>
      <c r="R40" s="616">
        <f t="shared" si="6"/>
        <v>0</v>
      </c>
      <c r="S40" s="616">
        <f t="shared" si="6"/>
        <v>0</v>
      </c>
      <c r="T40" s="616">
        <f t="shared" si="6"/>
        <v>0</v>
      </c>
      <c r="U40" s="616">
        <f t="shared" si="6"/>
        <v>0</v>
      </c>
      <c r="V40" s="616">
        <f t="shared" si="6"/>
        <v>2.5379999999999998</v>
      </c>
      <c r="W40" s="616">
        <f t="shared" si="6"/>
        <v>368.64705600000002</v>
      </c>
    </row>
    <row r="41" spans="1:23" s="328" customFormat="1" ht="18" customHeight="1">
      <c r="A41" s="1589" t="s">
        <v>1293</v>
      </c>
      <c r="B41" s="1590"/>
      <c r="C41" s="1590"/>
      <c r="D41" s="1590"/>
      <c r="E41" s="1590"/>
      <c r="F41" s="1590"/>
      <c r="G41" s="1590"/>
      <c r="H41" s="1590"/>
      <c r="I41" s="1590"/>
      <c r="J41" s="1590"/>
      <c r="K41" s="1590"/>
      <c r="L41" s="1590"/>
      <c r="M41" s="1590"/>
      <c r="N41" s="1590"/>
      <c r="O41" s="1590"/>
      <c r="P41" s="1590"/>
      <c r="Q41" s="1590"/>
      <c r="R41" s="1590"/>
      <c r="S41" s="1590"/>
      <c r="T41" s="1590"/>
      <c r="U41" s="1590"/>
      <c r="V41" s="1590"/>
      <c r="W41" s="1591"/>
    </row>
    <row r="42" spans="1:23" s="328" customFormat="1">
      <c r="A42" s="611"/>
      <c r="B42" s="612" t="s">
        <v>1286</v>
      </c>
      <c r="C42" s="607">
        <v>61.4499</v>
      </c>
      <c r="D42" s="607">
        <v>0.33600000000000002</v>
      </c>
      <c r="E42" s="607">
        <v>0.28139999999999998</v>
      </c>
      <c r="F42" s="607">
        <v>3.6960000000000002</v>
      </c>
      <c r="G42" s="607">
        <v>10.966932</v>
      </c>
      <c r="H42" s="607">
        <v>3.45</v>
      </c>
      <c r="I42" s="607">
        <v>6.3398399999999997</v>
      </c>
      <c r="J42" s="607">
        <v>2.73</v>
      </c>
      <c r="K42" s="607">
        <v>4.2000000000000003E-2</v>
      </c>
      <c r="L42" s="607">
        <v>0</v>
      </c>
      <c r="M42" s="607">
        <v>4.6330499999999999</v>
      </c>
      <c r="N42" s="607">
        <v>5.998494</v>
      </c>
      <c r="O42" s="607">
        <v>5.998494</v>
      </c>
      <c r="P42" s="607">
        <v>0</v>
      </c>
      <c r="Q42" s="607">
        <v>0</v>
      </c>
      <c r="R42" s="607">
        <v>0</v>
      </c>
      <c r="S42" s="607">
        <v>0</v>
      </c>
      <c r="T42" s="607">
        <v>0</v>
      </c>
      <c r="U42" s="607">
        <v>0</v>
      </c>
      <c r="V42" s="607">
        <v>0.32400000000000001</v>
      </c>
      <c r="W42" s="608">
        <f>SUM(C42:V42)</f>
        <v>106.24610999999999</v>
      </c>
    </row>
    <row r="43" spans="1:23" s="328" customFormat="1" ht="18" customHeight="1">
      <c r="A43" s="614"/>
      <c r="B43" s="615" t="s">
        <v>1287</v>
      </c>
      <c r="C43" s="607">
        <v>9.3546600000000009</v>
      </c>
      <c r="D43" s="607">
        <v>0</v>
      </c>
      <c r="E43" s="607">
        <v>0</v>
      </c>
      <c r="F43" s="607">
        <v>0</v>
      </c>
      <c r="G43" s="607">
        <v>1.7163660000000001</v>
      </c>
      <c r="H43" s="607">
        <v>1.160574</v>
      </c>
      <c r="I43" s="607">
        <v>2.5579499999999999</v>
      </c>
      <c r="J43" s="607">
        <v>0.03</v>
      </c>
      <c r="K43" s="607">
        <v>0</v>
      </c>
      <c r="L43" s="607">
        <v>8.9999999999999993E-3</v>
      </c>
      <c r="M43" s="607">
        <v>0.70195200000000002</v>
      </c>
      <c r="N43" s="607">
        <v>0.91552800000000001</v>
      </c>
      <c r="O43" s="607">
        <v>0.91552800000000001</v>
      </c>
      <c r="P43" s="607">
        <v>0</v>
      </c>
      <c r="Q43" s="607">
        <v>6.2100000000000002E-2</v>
      </c>
      <c r="R43" s="607">
        <v>0</v>
      </c>
      <c r="S43" s="607">
        <v>0</v>
      </c>
      <c r="T43" s="607">
        <v>0</v>
      </c>
      <c r="U43" s="607">
        <v>0</v>
      </c>
      <c r="V43" s="607">
        <v>0</v>
      </c>
      <c r="W43" s="608">
        <f>SUM(C43:V43)</f>
        <v>17.423658</v>
      </c>
    </row>
    <row r="44" spans="1:23" s="328" customFormat="1" ht="18" customHeight="1">
      <c r="A44" s="1587" t="s">
        <v>138</v>
      </c>
      <c r="B44" s="1588"/>
      <c r="C44" s="616">
        <f>SUM(C42:C43)</f>
        <v>70.804559999999995</v>
      </c>
      <c r="D44" s="616">
        <f t="shared" ref="D44:W44" si="7">SUM(D42:D43)</f>
        <v>0.33600000000000002</v>
      </c>
      <c r="E44" s="616">
        <f t="shared" si="7"/>
        <v>0.28139999999999998</v>
      </c>
      <c r="F44" s="616">
        <f t="shared" si="7"/>
        <v>3.6960000000000002</v>
      </c>
      <c r="G44" s="616">
        <f t="shared" si="7"/>
        <v>12.683298000000001</v>
      </c>
      <c r="H44" s="616">
        <f t="shared" si="7"/>
        <v>4.6105739999999997</v>
      </c>
      <c r="I44" s="616">
        <f t="shared" si="7"/>
        <v>8.8977900000000005</v>
      </c>
      <c r="J44" s="616">
        <f t="shared" si="7"/>
        <v>2.76</v>
      </c>
      <c r="K44" s="616">
        <f t="shared" si="7"/>
        <v>4.2000000000000003E-2</v>
      </c>
      <c r="L44" s="616">
        <f t="shared" si="7"/>
        <v>8.9999999999999993E-3</v>
      </c>
      <c r="M44" s="616">
        <f t="shared" si="7"/>
        <v>5.3350020000000002</v>
      </c>
      <c r="N44" s="616">
        <f t="shared" si="7"/>
        <v>6.9140220000000001</v>
      </c>
      <c r="O44" s="616">
        <f t="shared" si="7"/>
        <v>6.9140220000000001</v>
      </c>
      <c r="P44" s="616">
        <f t="shared" si="7"/>
        <v>0</v>
      </c>
      <c r="Q44" s="616">
        <f t="shared" si="7"/>
        <v>6.2100000000000002E-2</v>
      </c>
      <c r="R44" s="616">
        <f t="shared" si="7"/>
        <v>0</v>
      </c>
      <c r="S44" s="616">
        <f t="shared" si="7"/>
        <v>0</v>
      </c>
      <c r="T44" s="616">
        <f t="shared" si="7"/>
        <v>0</v>
      </c>
      <c r="U44" s="616">
        <f t="shared" si="7"/>
        <v>0</v>
      </c>
      <c r="V44" s="616">
        <f t="shared" si="7"/>
        <v>0.32400000000000001</v>
      </c>
      <c r="W44" s="616">
        <f t="shared" si="7"/>
        <v>123.66976799999999</v>
      </c>
    </row>
    <row r="45" spans="1:23" s="19" customFormat="1" ht="18" customHeight="1">
      <c r="A45" s="1587" t="s">
        <v>894</v>
      </c>
      <c r="B45" s="1588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7"/>
    </row>
    <row r="46" spans="1:23" s="328" customFormat="1" ht="18" customHeight="1">
      <c r="A46" s="618"/>
      <c r="B46" s="619" t="s">
        <v>1294</v>
      </c>
      <c r="C46" s="607">
        <f>+C13</f>
        <v>330.97908000000001</v>
      </c>
      <c r="D46" s="607">
        <f t="shared" ref="D46:V46" si="8">+D13</f>
        <v>0.1275</v>
      </c>
      <c r="E46" s="607">
        <f t="shared" si="8"/>
        <v>0.11219999999999999</v>
      </c>
      <c r="F46" s="607">
        <f t="shared" si="8"/>
        <v>1.4279999999999999</v>
      </c>
      <c r="G46" s="607">
        <f t="shared" si="8"/>
        <v>66.817847999999998</v>
      </c>
      <c r="H46" s="607">
        <f t="shared" si="8"/>
        <v>36.413747999999998</v>
      </c>
      <c r="I46" s="607">
        <f t="shared" si="8"/>
        <v>89.688599999999994</v>
      </c>
      <c r="J46" s="607">
        <f t="shared" si="8"/>
        <v>0.87</v>
      </c>
      <c r="K46" s="607">
        <f t="shared" si="8"/>
        <v>1.41648</v>
      </c>
      <c r="L46" s="607">
        <f t="shared" si="8"/>
        <v>0.25650000000000001</v>
      </c>
      <c r="M46" s="607">
        <f t="shared" si="8"/>
        <v>24.988512</v>
      </c>
      <c r="N46" s="607">
        <f t="shared" si="8"/>
        <v>31.821269999999998</v>
      </c>
      <c r="O46" s="607">
        <f t="shared" si="8"/>
        <v>31.821269999999998</v>
      </c>
      <c r="P46" s="607">
        <f t="shared" si="8"/>
        <v>0</v>
      </c>
      <c r="Q46" s="607">
        <f t="shared" si="8"/>
        <v>3.7014</v>
      </c>
      <c r="R46" s="607">
        <f t="shared" si="8"/>
        <v>0</v>
      </c>
      <c r="S46" s="607">
        <f t="shared" si="8"/>
        <v>0</v>
      </c>
      <c r="T46" s="607">
        <f t="shared" si="8"/>
        <v>0</v>
      </c>
      <c r="U46" s="607">
        <f t="shared" si="8"/>
        <v>0</v>
      </c>
      <c r="V46" s="607">
        <f t="shared" si="8"/>
        <v>0</v>
      </c>
      <c r="W46" s="608">
        <f>SUM(C46:V46)</f>
        <v>620.442408</v>
      </c>
    </row>
    <row r="47" spans="1:23" s="328" customFormat="1" ht="18" customHeight="1">
      <c r="A47" s="611"/>
      <c r="B47" s="620" t="s">
        <v>1295</v>
      </c>
      <c r="C47" s="607">
        <f>+C12+C18+C22+C26+C30+C34+C38+C42</f>
        <v>597.63126</v>
      </c>
      <c r="D47" s="607">
        <f t="shared" ref="D47:V47" si="9">+D12+D18+D22+D26+D30+D34+D38+D42</f>
        <v>2.9387999999999996</v>
      </c>
      <c r="E47" s="607">
        <f t="shared" si="9"/>
        <v>2.64045</v>
      </c>
      <c r="F47" s="607">
        <f t="shared" si="9"/>
        <v>31.8</v>
      </c>
      <c r="G47" s="607">
        <f t="shared" si="9"/>
        <v>91.579841999999999</v>
      </c>
      <c r="H47" s="607">
        <f t="shared" si="9"/>
        <v>31.89</v>
      </c>
      <c r="I47" s="607">
        <f t="shared" si="9"/>
        <v>61.968108000000008</v>
      </c>
      <c r="J47" s="607">
        <f t="shared" si="9"/>
        <v>36.089999999999996</v>
      </c>
      <c r="K47" s="607">
        <f t="shared" si="9"/>
        <v>2.0969999999999995</v>
      </c>
      <c r="L47" s="607">
        <f t="shared" si="9"/>
        <v>0.32400000000000001</v>
      </c>
      <c r="M47" s="607">
        <f t="shared" si="9"/>
        <v>45.029015999999999</v>
      </c>
      <c r="N47" s="607">
        <f t="shared" si="9"/>
        <v>58.304286000000005</v>
      </c>
      <c r="O47" s="607">
        <f t="shared" si="9"/>
        <v>58.304286000000005</v>
      </c>
      <c r="P47" s="607">
        <f t="shared" si="9"/>
        <v>0</v>
      </c>
      <c r="Q47" s="607">
        <f t="shared" si="9"/>
        <v>0</v>
      </c>
      <c r="R47" s="607">
        <f t="shared" si="9"/>
        <v>0</v>
      </c>
      <c r="S47" s="607">
        <f t="shared" si="9"/>
        <v>0</v>
      </c>
      <c r="T47" s="607">
        <f t="shared" si="9"/>
        <v>0</v>
      </c>
      <c r="U47" s="607">
        <f t="shared" si="9"/>
        <v>0</v>
      </c>
      <c r="V47" s="607">
        <f t="shared" si="9"/>
        <v>8.2079999999999984</v>
      </c>
      <c r="W47" s="608">
        <f>SUM(C47:V47)</f>
        <v>1028.8050479999999</v>
      </c>
    </row>
    <row r="48" spans="1:23" s="328" customFormat="1" ht="18" customHeight="1">
      <c r="A48" s="614"/>
      <c r="B48" s="621" t="s">
        <v>1287</v>
      </c>
      <c r="C48" s="607">
        <f>+C19+C23+C27+C31+C35+C39+C43</f>
        <v>192.8844</v>
      </c>
      <c r="D48" s="607">
        <f t="shared" ref="D48:V48" si="10">+D19+D23+D27+D31+D35+D39+D43</f>
        <v>1.2E-2</v>
      </c>
      <c r="E48" s="607">
        <f t="shared" si="10"/>
        <v>3.0000000000000001E-3</v>
      </c>
      <c r="F48" s="607">
        <f t="shared" si="10"/>
        <v>0</v>
      </c>
      <c r="G48" s="607">
        <f t="shared" si="10"/>
        <v>48.284352000000005</v>
      </c>
      <c r="H48" s="607">
        <f t="shared" si="10"/>
        <v>23.65803</v>
      </c>
      <c r="I48" s="607">
        <f t="shared" si="10"/>
        <v>51.654012000000002</v>
      </c>
      <c r="J48" s="607">
        <f t="shared" si="10"/>
        <v>0.75</v>
      </c>
      <c r="K48" s="607">
        <f t="shared" si="10"/>
        <v>0</v>
      </c>
      <c r="L48" s="607">
        <f t="shared" si="10"/>
        <v>0.17549999999999999</v>
      </c>
      <c r="M48" s="607">
        <f t="shared" si="10"/>
        <v>14.687430000000001</v>
      </c>
      <c r="N48" s="607">
        <f t="shared" si="10"/>
        <v>18.846851999999998</v>
      </c>
      <c r="O48" s="607">
        <f t="shared" si="10"/>
        <v>18.846851999999998</v>
      </c>
      <c r="P48" s="607">
        <f t="shared" si="10"/>
        <v>0.44130000000000003</v>
      </c>
      <c r="Q48" s="607">
        <f t="shared" si="10"/>
        <v>0.63300000000000001</v>
      </c>
      <c r="R48" s="607">
        <f t="shared" si="10"/>
        <v>0</v>
      </c>
      <c r="S48" s="607">
        <f t="shared" si="10"/>
        <v>0</v>
      </c>
      <c r="T48" s="607">
        <f t="shared" si="10"/>
        <v>0</v>
      </c>
      <c r="U48" s="607">
        <f t="shared" si="10"/>
        <v>0</v>
      </c>
      <c r="V48" s="607">
        <f t="shared" si="10"/>
        <v>0</v>
      </c>
      <c r="W48" s="608">
        <f>SUM(C48:V48)</f>
        <v>370.87672800000007</v>
      </c>
    </row>
    <row r="49" spans="1:23" s="19" customFormat="1" ht="2.25" hidden="1" customHeight="1">
      <c r="A49" s="1587" t="s">
        <v>895</v>
      </c>
      <c r="B49" s="1588"/>
      <c r="C49" s="610">
        <f>SUM(C46:C48)</f>
        <v>1121.4947399999999</v>
      </c>
      <c r="D49" s="610">
        <f t="shared" ref="D49:W49" si="11">SUM(D46:D48)</f>
        <v>3.0782999999999996</v>
      </c>
      <c r="E49" s="610">
        <f t="shared" si="11"/>
        <v>2.7556500000000002</v>
      </c>
      <c r="F49" s="610">
        <f t="shared" si="11"/>
        <v>33.228000000000002</v>
      </c>
      <c r="G49" s="610">
        <f t="shared" si="11"/>
        <v>206.68204200000002</v>
      </c>
      <c r="H49" s="610">
        <f t="shared" si="11"/>
        <v>91.961777999999995</v>
      </c>
      <c r="I49" s="610">
        <f t="shared" si="11"/>
        <v>203.31072</v>
      </c>
      <c r="J49" s="610">
        <f t="shared" si="11"/>
        <v>37.709999999999994</v>
      </c>
      <c r="K49" s="610">
        <f t="shared" si="11"/>
        <v>3.5134799999999995</v>
      </c>
      <c r="L49" s="610">
        <f t="shared" si="11"/>
        <v>0.75600000000000001</v>
      </c>
      <c r="M49" s="610">
        <f t="shared" si="11"/>
        <v>84.704958000000005</v>
      </c>
      <c r="N49" s="610">
        <f t="shared" si="11"/>
        <v>108.972408</v>
      </c>
      <c r="O49" s="610">
        <f t="shared" si="11"/>
        <v>108.972408</v>
      </c>
      <c r="P49" s="610">
        <f t="shared" si="11"/>
        <v>0.44130000000000003</v>
      </c>
      <c r="Q49" s="610">
        <f t="shared" si="11"/>
        <v>4.3344000000000005</v>
      </c>
      <c r="R49" s="610">
        <f t="shared" si="11"/>
        <v>0</v>
      </c>
      <c r="S49" s="610">
        <f t="shared" si="11"/>
        <v>0</v>
      </c>
      <c r="T49" s="610">
        <f t="shared" si="11"/>
        <v>0</v>
      </c>
      <c r="U49" s="610">
        <f t="shared" si="11"/>
        <v>0</v>
      </c>
      <c r="V49" s="610">
        <f t="shared" si="11"/>
        <v>8.2079999999999984</v>
      </c>
      <c r="W49" s="610">
        <f t="shared" si="11"/>
        <v>2020.1241840000002</v>
      </c>
    </row>
    <row r="50" spans="1:23" s="19" customFormat="1" ht="16.5" customHeight="1">
      <c r="A50" s="1578" t="s">
        <v>324</v>
      </c>
      <c r="B50" s="15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17"/>
    </row>
    <row r="51" spans="1:23" s="19" customFormat="1" ht="18" customHeight="1">
      <c r="A51" s="1580" t="s">
        <v>329</v>
      </c>
      <c r="B51" s="1581"/>
      <c r="C51" s="622">
        <f>+C49</f>
        <v>1121.4947399999999</v>
      </c>
      <c r="D51" s="622">
        <f t="shared" ref="D51:W51" si="12">+D49</f>
        <v>3.0782999999999996</v>
      </c>
      <c r="E51" s="622">
        <f t="shared" si="12"/>
        <v>2.7556500000000002</v>
      </c>
      <c r="F51" s="622">
        <f t="shared" si="12"/>
        <v>33.228000000000002</v>
      </c>
      <c r="G51" s="622">
        <f t="shared" si="12"/>
        <v>206.68204200000002</v>
      </c>
      <c r="H51" s="622">
        <f t="shared" si="12"/>
        <v>91.961777999999995</v>
      </c>
      <c r="I51" s="622">
        <f t="shared" si="12"/>
        <v>203.31072</v>
      </c>
      <c r="J51" s="622">
        <f t="shared" si="12"/>
        <v>37.709999999999994</v>
      </c>
      <c r="K51" s="622">
        <f t="shared" si="12"/>
        <v>3.5134799999999995</v>
      </c>
      <c r="L51" s="622">
        <f t="shared" si="12"/>
        <v>0.75600000000000001</v>
      </c>
      <c r="M51" s="622">
        <f t="shared" si="12"/>
        <v>84.704958000000005</v>
      </c>
      <c r="N51" s="622">
        <f t="shared" si="12"/>
        <v>108.972408</v>
      </c>
      <c r="O51" s="622">
        <f t="shared" si="12"/>
        <v>108.972408</v>
      </c>
      <c r="P51" s="622">
        <f t="shared" si="12"/>
        <v>0.44130000000000003</v>
      </c>
      <c r="Q51" s="622">
        <f t="shared" si="12"/>
        <v>4.3344000000000005</v>
      </c>
      <c r="R51" s="622">
        <f t="shared" si="12"/>
        <v>0</v>
      </c>
      <c r="S51" s="622">
        <f t="shared" si="12"/>
        <v>0</v>
      </c>
      <c r="T51" s="622">
        <f t="shared" si="12"/>
        <v>0</v>
      </c>
      <c r="U51" s="622">
        <f t="shared" si="12"/>
        <v>0</v>
      </c>
      <c r="V51" s="622">
        <f t="shared" si="12"/>
        <v>8.2079999999999984</v>
      </c>
      <c r="W51" s="622">
        <f t="shared" si="12"/>
        <v>2020.1241840000002</v>
      </c>
    </row>
    <row r="52" spans="1:23" ht="30" customHeight="1">
      <c r="A52" s="1582" t="s">
        <v>330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3"/>
      <c r="L52" s="1583"/>
      <c r="M52" s="1583"/>
      <c r="N52" s="1583"/>
      <c r="O52" s="1583"/>
      <c r="P52" s="1583"/>
      <c r="Q52" s="1583"/>
      <c r="R52" s="1583"/>
      <c r="S52" s="1583"/>
      <c r="T52" s="1583"/>
      <c r="U52" s="1583"/>
      <c r="V52" s="1583"/>
      <c r="W52" s="1583"/>
    </row>
    <row r="53" spans="1:23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626"/>
    </row>
    <row r="54" spans="1:23">
      <c r="A54" s="33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626"/>
    </row>
    <row r="55" spans="1:23">
      <c r="A55" s="33"/>
      <c r="B55" s="33"/>
      <c r="C55" s="783" t="s">
        <v>1323</v>
      </c>
      <c r="D55" s="1601"/>
      <c r="E55" s="1602"/>
      <c r="F55" s="160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626"/>
    </row>
    <row r="56" spans="1:23">
      <c r="A56" s="33"/>
      <c r="B56" s="33"/>
      <c r="C56" s="783" t="s">
        <v>1324</v>
      </c>
      <c r="D56" s="783"/>
      <c r="E56" s="1592">
        <v>21995496</v>
      </c>
      <c r="F56" s="1592"/>
      <c r="G56" s="782">
        <f>SUM(E56+E57)/1000000</f>
        <v>22.94229</v>
      </c>
      <c r="H56" s="785">
        <f>+W46-G46+G56</f>
        <v>576.56684999999993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626"/>
    </row>
    <row r="57" spans="1:23">
      <c r="A57" s="33"/>
      <c r="B57" s="33"/>
      <c r="C57" s="784" t="s">
        <v>1286</v>
      </c>
      <c r="D57" s="784"/>
      <c r="E57" s="1592">
        <v>946794</v>
      </c>
      <c r="F57" s="1592"/>
      <c r="G57" s="787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626"/>
    </row>
    <row r="58" spans="1:23">
      <c r="C58" s="784" t="s">
        <v>1325</v>
      </c>
      <c r="D58" s="784"/>
      <c r="E58" s="1592">
        <f>888012+564678+3720756+1780032+1586646+605184+1682868</f>
        <v>10828176</v>
      </c>
      <c r="F58" s="1592"/>
      <c r="G58" s="787">
        <f>+E58/1000000</f>
        <v>10.828175999999999</v>
      </c>
      <c r="H58" s="789">
        <f>+W48-G48+G58</f>
        <v>333.42055200000004</v>
      </c>
    </row>
    <row r="59" spans="1:23">
      <c r="C59" s="784" t="s">
        <v>1286</v>
      </c>
      <c r="D59" s="784"/>
      <c r="E59" s="1592">
        <f>2350692+3603060+11040432+6054486+7206768+1892652+8658810</f>
        <v>40806900</v>
      </c>
      <c r="F59" s="1592"/>
      <c r="G59" s="787">
        <f>+E59/1000000</f>
        <v>40.806899999999999</v>
      </c>
      <c r="H59" s="786">
        <f>+W47-G47+G59</f>
        <v>978.032106</v>
      </c>
    </row>
    <row r="60" spans="1:23">
      <c r="C60" s="784"/>
      <c r="D60" s="784"/>
      <c r="E60" s="1592">
        <f>SUM(E56:F59)</f>
        <v>74577366</v>
      </c>
      <c r="F60" s="1592"/>
      <c r="G60" s="787">
        <f>+E60/1000000</f>
        <v>74.577365999999998</v>
      </c>
      <c r="H60" s="787">
        <f>SUM(H56:H59)</f>
        <v>1888.0195079999999</v>
      </c>
    </row>
  </sheetData>
  <mergeCells count="30">
    <mergeCell ref="A29:W29"/>
    <mergeCell ref="U1:W1"/>
    <mergeCell ref="A2:W2"/>
    <mergeCell ref="A4:W4"/>
    <mergeCell ref="V5:W5"/>
    <mergeCell ref="A11:W11"/>
    <mergeCell ref="A16:B16"/>
    <mergeCell ref="A17:W17"/>
    <mergeCell ref="A21:W21"/>
    <mergeCell ref="A24:B24"/>
    <mergeCell ref="A25:W25"/>
    <mergeCell ref="A28:B28"/>
    <mergeCell ref="A52:W52"/>
    <mergeCell ref="A32:B32"/>
    <mergeCell ref="A33:W33"/>
    <mergeCell ref="A36:B36"/>
    <mergeCell ref="A37:W37"/>
    <mergeCell ref="A40:B40"/>
    <mergeCell ref="A41:W41"/>
    <mergeCell ref="A44:B44"/>
    <mergeCell ref="A45:B45"/>
    <mergeCell ref="A49:B49"/>
    <mergeCell ref="A50:B50"/>
    <mergeCell ref="A51:B51"/>
    <mergeCell ref="E60:F60"/>
    <mergeCell ref="D55:F55"/>
    <mergeCell ref="E56:F56"/>
    <mergeCell ref="E57:F57"/>
    <mergeCell ref="E58:F58"/>
    <mergeCell ref="E59:F59"/>
  </mergeCells>
  <printOptions horizontalCentered="1"/>
  <pageMargins left="0.4" right="0.19" top="0" bottom="0.25" header="0.5" footer="0.5"/>
  <pageSetup paperSize="9" scale="70" orientation="landscape" r:id="rId1"/>
  <headerFooter alignWithMargins="0"/>
  <rowBreaks count="1" manualBreakCount="1">
    <brk id="40" max="2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0"/>
  <sheetViews>
    <sheetView view="pageBreakPreview" zoomScale="85" zoomScaleSheetLayoutView="85" workbookViewId="0">
      <selection activeCell="F4" sqref="F4:G4"/>
    </sheetView>
  </sheetViews>
  <sheetFormatPr defaultRowHeight="12"/>
  <cols>
    <col min="1" max="1" width="5.85546875" style="67" bestFit="1" customWidth="1"/>
    <col min="2" max="2" width="42.7109375" style="68" customWidth="1"/>
    <col min="3" max="5" width="4" style="69" customWidth="1"/>
    <col min="6" max="6" width="5.28515625" style="67" customWidth="1"/>
    <col min="7" max="7" width="42.7109375" style="67" customWidth="1"/>
    <col min="8" max="256" width="9.140625" style="70"/>
    <col min="257" max="257" width="5.85546875" style="70" bestFit="1" customWidth="1"/>
    <col min="258" max="258" width="42.7109375" style="70" customWidth="1"/>
    <col min="259" max="261" width="4" style="70" customWidth="1"/>
    <col min="262" max="262" width="5.28515625" style="70" customWidth="1"/>
    <col min="263" max="263" width="42.7109375" style="70" customWidth="1"/>
    <col min="264" max="512" width="9.140625" style="70"/>
    <col min="513" max="513" width="5.85546875" style="70" bestFit="1" customWidth="1"/>
    <col min="514" max="514" width="42.7109375" style="70" customWidth="1"/>
    <col min="515" max="517" width="4" style="70" customWidth="1"/>
    <col min="518" max="518" width="5.28515625" style="70" customWidth="1"/>
    <col min="519" max="519" width="42.7109375" style="70" customWidth="1"/>
    <col min="520" max="768" width="9.140625" style="70"/>
    <col min="769" max="769" width="5.85546875" style="70" bestFit="1" customWidth="1"/>
    <col min="770" max="770" width="42.7109375" style="70" customWidth="1"/>
    <col min="771" max="773" width="4" style="70" customWidth="1"/>
    <col min="774" max="774" width="5.28515625" style="70" customWidth="1"/>
    <col min="775" max="775" width="42.7109375" style="70" customWidth="1"/>
    <col min="776" max="1024" width="9.140625" style="70"/>
    <col min="1025" max="1025" width="5.85546875" style="70" bestFit="1" customWidth="1"/>
    <col min="1026" max="1026" width="42.7109375" style="70" customWidth="1"/>
    <col min="1027" max="1029" width="4" style="70" customWidth="1"/>
    <col min="1030" max="1030" width="5.28515625" style="70" customWidth="1"/>
    <col min="1031" max="1031" width="42.7109375" style="70" customWidth="1"/>
    <col min="1032" max="1280" width="9.140625" style="70"/>
    <col min="1281" max="1281" width="5.85546875" style="70" bestFit="1" customWidth="1"/>
    <col min="1282" max="1282" width="42.7109375" style="70" customWidth="1"/>
    <col min="1283" max="1285" width="4" style="70" customWidth="1"/>
    <col min="1286" max="1286" width="5.28515625" style="70" customWidth="1"/>
    <col min="1287" max="1287" width="42.7109375" style="70" customWidth="1"/>
    <col min="1288" max="1536" width="9.140625" style="70"/>
    <col min="1537" max="1537" width="5.85546875" style="70" bestFit="1" customWidth="1"/>
    <col min="1538" max="1538" width="42.7109375" style="70" customWidth="1"/>
    <col min="1539" max="1541" width="4" style="70" customWidth="1"/>
    <col min="1542" max="1542" width="5.28515625" style="70" customWidth="1"/>
    <col min="1543" max="1543" width="42.7109375" style="70" customWidth="1"/>
    <col min="1544" max="1792" width="9.140625" style="70"/>
    <col min="1793" max="1793" width="5.85546875" style="70" bestFit="1" customWidth="1"/>
    <col min="1794" max="1794" width="42.7109375" style="70" customWidth="1"/>
    <col min="1795" max="1797" width="4" style="70" customWidth="1"/>
    <col min="1798" max="1798" width="5.28515625" style="70" customWidth="1"/>
    <col min="1799" max="1799" width="42.7109375" style="70" customWidth="1"/>
    <col min="1800" max="2048" width="9.140625" style="70"/>
    <col min="2049" max="2049" width="5.85546875" style="70" bestFit="1" customWidth="1"/>
    <col min="2050" max="2050" width="42.7109375" style="70" customWidth="1"/>
    <col min="2051" max="2053" width="4" style="70" customWidth="1"/>
    <col min="2054" max="2054" width="5.28515625" style="70" customWidth="1"/>
    <col min="2055" max="2055" width="42.7109375" style="70" customWidth="1"/>
    <col min="2056" max="2304" width="9.140625" style="70"/>
    <col min="2305" max="2305" width="5.85546875" style="70" bestFit="1" customWidth="1"/>
    <col min="2306" max="2306" width="42.7109375" style="70" customWidth="1"/>
    <col min="2307" max="2309" width="4" style="70" customWidth="1"/>
    <col min="2310" max="2310" width="5.28515625" style="70" customWidth="1"/>
    <col min="2311" max="2311" width="42.7109375" style="70" customWidth="1"/>
    <col min="2312" max="2560" width="9.140625" style="70"/>
    <col min="2561" max="2561" width="5.85546875" style="70" bestFit="1" customWidth="1"/>
    <col min="2562" max="2562" width="42.7109375" style="70" customWidth="1"/>
    <col min="2563" max="2565" width="4" style="70" customWidth="1"/>
    <col min="2566" max="2566" width="5.28515625" style="70" customWidth="1"/>
    <col min="2567" max="2567" width="42.7109375" style="70" customWidth="1"/>
    <col min="2568" max="2816" width="9.140625" style="70"/>
    <col min="2817" max="2817" width="5.85546875" style="70" bestFit="1" customWidth="1"/>
    <col min="2818" max="2818" width="42.7109375" style="70" customWidth="1"/>
    <col min="2819" max="2821" width="4" style="70" customWidth="1"/>
    <col min="2822" max="2822" width="5.28515625" style="70" customWidth="1"/>
    <col min="2823" max="2823" width="42.7109375" style="70" customWidth="1"/>
    <col min="2824" max="3072" width="9.140625" style="70"/>
    <col min="3073" max="3073" width="5.85546875" style="70" bestFit="1" customWidth="1"/>
    <col min="3074" max="3074" width="42.7109375" style="70" customWidth="1"/>
    <col min="3075" max="3077" width="4" style="70" customWidth="1"/>
    <col min="3078" max="3078" width="5.28515625" style="70" customWidth="1"/>
    <col min="3079" max="3079" width="42.7109375" style="70" customWidth="1"/>
    <col min="3080" max="3328" width="9.140625" style="70"/>
    <col min="3329" max="3329" width="5.85546875" style="70" bestFit="1" customWidth="1"/>
    <col min="3330" max="3330" width="42.7109375" style="70" customWidth="1"/>
    <col min="3331" max="3333" width="4" style="70" customWidth="1"/>
    <col min="3334" max="3334" width="5.28515625" style="70" customWidth="1"/>
    <col min="3335" max="3335" width="42.7109375" style="70" customWidth="1"/>
    <col min="3336" max="3584" width="9.140625" style="70"/>
    <col min="3585" max="3585" width="5.85546875" style="70" bestFit="1" customWidth="1"/>
    <col min="3586" max="3586" width="42.7109375" style="70" customWidth="1"/>
    <col min="3587" max="3589" width="4" style="70" customWidth="1"/>
    <col min="3590" max="3590" width="5.28515625" style="70" customWidth="1"/>
    <col min="3591" max="3591" width="42.7109375" style="70" customWidth="1"/>
    <col min="3592" max="3840" width="9.140625" style="70"/>
    <col min="3841" max="3841" width="5.85546875" style="70" bestFit="1" customWidth="1"/>
    <col min="3842" max="3842" width="42.7109375" style="70" customWidth="1"/>
    <col min="3843" max="3845" width="4" style="70" customWidth="1"/>
    <col min="3846" max="3846" width="5.28515625" style="70" customWidth="1"/>
    <col min="3847" max="3847" width="42.7109375" style="70" customWidth="1"/>
    <col min="3848" max="4096" width="9.140625" style="70"/>
    <col min="4097" max="4097" width="5.85546875" style="70" bestFit="1" customWidth="1"/>
    <col min="4098" max="4098" width="42.7109375" style="70" customWidth="1"/>
    <col min="4099" max="4101" width="4" style="70" customWidth="1"/>
    <col min="4102" max="4102" width="5.28515625" style="70" customWidth="1"/>
    <col min="4103" max="4103" width="42.7109375" style="70" customWidth="1"/>
    <col min="4104" max="4352" width="9.140625" style="70"/>
    <col min="4353" max="4353" width="5.85546875" style="70" bestFit="1" customWidth="1"/>
    <col min="4354" max="4354" width="42.7109375" style="70" customWidth="1"/>
    <col min="4355" max="4357" width="4" style="70" customWidth="1"/>
    <col min="4358" max="4358" width="5.28515625" style="70" customWidth="1"/>
    <col min="4359" max="4359" width="42.7109375" style="70" customWidth="1"/>
    <col min="4360" max="4608" width="9.140625" style="70"/>
    <col min="4609" max="4609" width="5.85546875" style="70" bestFit="1" customWidth="1"/>
    <col min="4610" max="4610" width="42.7109375" style="70" customWidth="1"/>
    <col min="4611" max="4613" width="4" style="70" customWidth="1"/>
    <col min="4614" max="4614" width="5.28515625" style="70" customWidth="1"/>
    <col min="4615" max="4615" width="42.7109375" style="70" customWidth="1"/>
    <col min="4616" max="4864" width="9.140625" style="70"/>
    <col min="4865" max="4865" width="5.85546875" style="70" bestFit="1" customWidth="1"/>
    <col min="4866" max="4866" width="42.7109375" style="70" customWidth="1"/>
    <col min="4867" max="4869" width="4" style="70" customWidth="1"/>
    <col min="4870" max="4870" width="5.28515625" style="70" customWidth="1"/>
    <col min="4871" max="4871" width="42.7109375" style="70" customWidth="1"/>
    <col min="4872" max="5120" width="9.140625" style="70"/>
    <col min="5121" max="5121" width="5.85546875" style="70" bestFit="1" customWidth="1"/>
    <col min="5122" max="5122" width="42.7109375" style="70" customWidth="1"/>
    <col min="5123" max="5125" width="4" style="70" customWidth="1"/>
    <col min="5126" max="5126" width="5.28515625" style="70" customWidth="1"/>
    <col min="5127" max="5127" width="42.7109375" style="70" customWidth="1"/>
    <col min="5128" max="5376" width="9.140625" style="70"/>
    <col min="5377" max="5377" width="5.85546875" style="70" bestFit="1" customWidth="1"/>
    <col min="5378" max="5378" width="42.7109375" style="70" customWidth="1"/>
    <col min="5379" max="5381" width="4" style="70" customWidth="1"/>
    <col min="5382" max="5382" width="5.28515625" style="70" customWidth="1"/>
    <col min="5383" max="5383" width="42.7109375" style="70" customWidth="1"/>
    <col min="5384" max="5632" width="9.140625" style="70"/>
    <col min="5633" max="5633" width="5.85546875" style="70" bestFit="1" customWidth="1"/>
    <col min="5634" max="5634" width="42.7109375" style="70" customWidth="1"/>
    <col min="5635" max="5637" width="4" style="70" customWidth="1"/>
    <col min="5638" max="5638" width="5.28515625" style="70" customWidth="1"/>
    <col min="5639" max="5639" width="42.7109375" style="70" customWidth="1"/>
    <col min="5640" max="5888" width="9.140625" style="70"/>
    <col min="5889" max="5889" width="5.85546875" style="70" bestFit="1" customWidth="1"/>
    <col min="5890" max="5890" width="42.7109375" style="70" customWidth="1"/>
    <col min="5891" max="5893" width="4" style="70" customWidth="1"/>
    <col min="5894" max="5894" width="5.28515625" style="70" customWidth="1"/>
    <col min="5895" max="5895" width="42.7109375" style="70" customWidth="1"/>
    <col min="5896" max="6144" width="9.140625" style="70"/>
    <col min="6145" max="6145" width="5.85546875" style="70" bestFit="1" customWidth="1"/>
    <col min="6146" max="6146" width="42.7109375" style="70" customWidth="1"/>
    <col min="6147" max="6149" width="4" style="70" customWidth="1"/>
    <col min="6150" max="6150" width="5.28515625" style="70" customWidth="1"/>
    <col min="6151" max="6151" width="42.7109375" style="70" customWidth="1"/>
    <col min="6152" max="6400" width="9.140625" style="70"/>
    <col min="6401" max="6401" width="5.85546875" style="70" bestFit="1" customWidth="1"/>
    <col min="6402" max="6402" width="42.7109375" style="70" customWidth="1"/>
    <col min="6403" max="6405" width="4" style="70" customWidth="1"/>
    <col min="6406" max="6406" width="5.28515625" style="70" customWidth="1"/>
    <col min="6407" max="6407" width="42.7109375" style="70" customWidth="1"/>
    <col min="6408" max="6656" width="9.140625" style="70"/>
    <col min="6657" max="6657" width="5.85546875" style="70" bestFit="1" customWidth="1"/>
    <col min="6658" max="6658" width="42.7109375" style="70" customWidth="1"/>
    <col min="6659" max="6661" width="4" style="70" customWidth="1"/>
    <col min="6662" max="6662" width="5.28515625" style="70" customWidth="1"/>
    <col min="6663" max="6663" width="42.7109375" style="70" customWidth="1"/>
    <col min="6664" max="6912" width="9.140625" style="70"/>
    <col min="6913" max="6913" width="5.85546875" style="70" bestFit="1" customWidth="1"/>
    <col min="6914" max="6914" width="42.7109375" style="70" customWidth="1"/>
    <col min="6915" max="6917" width="4" style="70" customWidth="1"/>
    <col min="6918" max="6918" width="5.28515625" style="70" customWidth="1"/>
    <col min="6919" max="6919" width="42.7109375" style="70" customWidth="1"/>
    <col min="6920" max="7168" width="9.140625" style="70"/>
    <col min="7169" max="7169" width="5.85546875" style="70" bestFit="1" customWidth="1"/>
    <col min="7170" max="7170" width="42.7109375" style="70" customWidth="1"/>
    <col min="7171" max="7173" width="4" style="70" customWidth="1"/>
    <col min="7174" max="7174" width="5.28515625" style="70" customWidth="1"/>
    <col min="7175" max="7175" width="42.7109375" style="70" customWidth="1"/>
    <col min="7176" max="7424" width="9.140625" style="70"/>
    <col min="7425" max="7425" width="5.85546875" style="70" bestFit="1" customWidth="1"/>
    <col min="7426" max="7426" width="42.7109375" style="70" customWidth="1"/>
    <col min="7427" max="7429" width="4" style="70" customWidth="1"/>
    <col min="7430" max="7430" width="5.28515625" style="70" customWidth="1"/>
    <col min="7431" max="7431" width="42.7109375" style="70" customWidth="1"/>
    <col min="7432" max="7680" width="9.140625" style="70"/>
    <col min="7681" max="7681" width="5.85546875" style="70" bestFit="1" customWidth="1"/>
    <col min="7682" max="7682" width="42.7109375" style="70" customWidth="1"/>
    <col min="7683" max="7685" width="4" style="70" customWidth="1"/>
    <col min="7686" max="7686" width="5.28515625" style="70" customWidth="1"/>
    <col min="7687" max="7687" width="42.7109375" style="70" customWidth="1"/>
    <col min="7688" max="7936" width="9.140625" style="70"/>
    <col min="7937" max="7937" width="5.85546875" style="70" bestFit="1" customWidth="1"/>
    <col min="7938" max="7938" width="42.7109375" style="70" customWidth="1"/>
    <col min="7939" max="7941" width="4" style="70" customWidth="1"/>
    <col min="7942" max="7942" width="5.28515625" style="70" customWidth="1"/>
    <col min="7943" max="7943" width="42.7109375" style="70" customWidth="1"/>
    <col min="7944" max="8192" width="9.140625" style="70"/>
    <col min="8193" max="8193" width="5.85546875" style="70" bestFit="1" customWidth="1"/>
    <col min="8194" max="8194" width="42.7109375" style="70" customWidth="1"/>
    <col min="8195" max="8197" width="4" style="70" customWidth="1"/>
    <col min="8198" max="8198" width="5.28515625" style="70" customWidth="1"/>
    <col min="8199" max="8199" width="42.7109375" style="70" customWidth="1"/>
    <col min="8200" max="8448" width="9.140625" style="70"/>
    <col min="8449" max="8449" width="5.85546875" style="70" bestFit="1" customWidth="1"/>
    <col min="8450" max="8450" width="42.7109375" style="70" customWidth="1"/>
    <col min="8451" max="8453" width="4" style="70" customWidth="1"/>
    <col min="8454" max="8454" width="5.28515625" style="70" customWidth="1"/>
    <col min="8455" max="8455" width="42.7109375" style="70" customWidth="1"/>
    <col min="8456" max="8704" width="9.140625" style="70"/>
    <col min="8705" max="8705" width="5.85546875" style="70" bestFit="1" customWidth="1"/>
    <col min="8706" max="8706" width="42.7109375" style="70" customWidth="1"/>
    <col min="8707" max="8709" width="4" style="70" customWidth="1"/>
    <col min="8710" max="8710" width="5.28515625" style="70" customWidth="1"/>
    <col min="8711" max="8711" width="42.7109375" style="70" customWidth="1"/>
    <col min="8712" max="8960" width="9.140625" style="70"/>
    <col min="8961" max="8961" width="5.85546875" style="70" bestFit="1" customWidth="1"/>
    <col min="8962" max="8962" width="42.7109375" style="70" customWidth="1"/>
    <col min="8963" max="8965" width="4" style="70" customWidth="1"/>
    <col min="8966" max="8966" width="5.28515625" style="70" customWidth="1"/>
    <col min="8967" max="8967" width="42.7109375" style="70" customWidth="1"/>
    <col min="8968" max="9216" width="9.140625" style="70"/>
    <col min="9217" max="9217" width="5.85546875" style="70" bestFit="1" customWidth="1"/>
    <col min="9218" max="9218" width="42.7109375" style="70" customWidth="1"/>
    <col min="9219" max="9221" width="4" style="70" customWidth="1"/>
    <col min="9222" max="9222" width="5.28515625" style="70" customWidth="1"/>
    <col min="9223" max="9223" width="42.7109375" style="70" customWidth="1"/>
    <col min="9224" max="9472" width="9.140625" style="70"/>
    <col min="9473" max="9473" width="5.85546875" style="70" bestFit="1" customWidth="1"/>
    <col min="9474" max="9474" width="42.7109375" style="70" customWidth="1"/>
    <col min="9475" max="9477" width="4" style="70" customWidth="1"/>
    <col min="9478" max="9478" width="5.28515625" style="70" customWidth="1"/>
    <col min="9479" max="9479" width="42.7109375" style="70" customWidth="1"/>
    <col min="9480" max="9728" width="9.140625" style="70"/>
    <col min="9729" max="9729" width="5.85546875" style="70" bestFit="1" customWidth="1"/>
    <col min="9730" max="9730" width="42.7109375" style="70" customWidth="1"/>
    <col min="9731" max="9733" width="4" style="70" customWidth="1"/>
    <col min="9734" max="9734" width="5.28515625" style="70" customWidth="1"/>
    <col min="9735" max="9735" width="42.7109375" style="70" customWidth="1"/>
    <col min="9736" max="9984" width="9.140625" style="70"/>
    <col min="9985" max="9985" width="5.85546875" style="70" bestFit="1" customWidth="1"/>
    <col min="9986" max="9986" width="42.7109375" style="70" customWidth="1"/>
    <col min="9987" max="9989" width="4" style="70" customWidth="1"/>
    <col min="9990" max="9990" width="5.28515625" style="70" customWidth="1"/>
    <col min="9991" max="9991" width="42.7109375" style="70" customWidth="1"/>
    <col min="9992" max="10240" width="9.140625" style="70"/>
    <col min="10241" max="10241" width="5.85546875" style="70" bestFit="1" customWidth="1"/>
    <col min="10242" max="10242" width="42.7109375" style="70" customWidth="1"/>
    <col min="10243" max="10245" width="4" style="70" customWidth="1"/>
    <col min="10246" max="10246" width="5.28515625" style="70" customWidth="1"/>
    <col min="10247" max="10247" width="42.7109375" style="70" customWidth="1"/>
    <col min="10248" max="10496" width="9.140625" style="70"/>
    <col min="10497" max="10497" width="5.85546875" style="70" bestFit="1" customWidth="1"/>
    <col min="10498" max="10498" width="42.7109375" style="70" customWidth="1"/>
    <col min="10499" max="10501" width="4" style="70" customWidth="1"/>
    <col min="10502" max="10502" width="5.28515625" style="70" customWidth="1"/>
    <col min="10503" max="10503" width="42.7109375" style="70" customWidth="1"/>
    <col min="10504" max="10752" width="9.140625" style="70"/>
    <col min="10753" max="10753" width="5.85546875" style="70" bestFit="1" customWidth="1"/>
    <col min="10754" max="10754" width="42.7109375" style="70" customWidth="1"/>
    <col min="10755" max="10757" width="4" style="70" customWidth="1"/>
    <col min="10758" max="10758" width="5.28515625" style="70" customWidth="1"/>
    <col min="10759" max="10759" width="42.7109375" style="70" customWidth="1"/>
    <col min="10760" max="11008" width="9.140625" style="70"/>
    <col min="11009" max="11009" width="5.85546875" style="70" bestFit="1" customWidth="1"/>
    <col min="11010" max="11010" width="42.7109375" style="70" customWidth="1"/>
    <col min="11011" max="11013" width="4" style="70" customWidth="1"/>
    <col min="11014" max="11014" width="5.28515625" style="70" customWidth="1"/>
    <col min="11015" max="11015" width="42.7109375" style="70" customWidth="1"/>
    <col min="11016" max="11264" width="9.140625" style="70"/>
    <col min="11265" max="11265" width="5.85546875" style="70" bestFit="1" customWidth="1"/>
    <col min="11266" max="11266" width="42.7109375" style="70" customWidth="1"/>
    <col min="11267" max="11269" width="4" style="70" customWidth="1"/>
    <col min="11270" max="11270" width="5.28515625" style="70" customWidth="1"/>
    <col min="11271" max="11271" width="42.7109375" style="70" customWidth="1"/>
    <col min="11272" max="11520" width="9.140625" style="70"/>
    <col min="11521" max="11521" width="5.85546875" style="70" bestFit="1" customWidth="1"/>
    <col min="11522" max="11522" width="42.7109375" style="70" customWidth="1"/>
    <col min="11523" max="11525" width="4" style="70" customWidth="1"/>
    <col min="11526" max="11526" width="5.28515625" style="70" customWidth="1"/>
    <col min="11527" max="11527" width="42.7109375" style="70" customWidth="1"/>
    <col min="11528" max="11776" width="9.140625" style="70"/>
    <col min="11777" max="11777" width="5.85546875" style="70" bestFit="1" customWidth="1"/>
    <col min="11778" max="11778" width="42.7109375" style="70" customWidth="1"/>
    <col min="11779" max="11781" width="4" style="70" customWidth="1"/>
    <col min="11782" max="11782" width="5.28515625" style="70" customWidth="1"/>
    <col min="11783" max="11783" width="42.7109375" style="70" customWidth="1"/>
    <col min="11784" max="12032" width="9.140625" style="70"/>
    <col min="12033" max="12033" width="5.85546875" style="70" bestFit="1" customWidth="1"/>
    <col min="12034" max="12034" width="42.7109375" style="70" customWidth="1"/>
    <col min="12035" max="12037" width="4" style="70" customWidth="1"/>
    <col min="12038" max="12038" width="5.28515625" style="70" customWidth="1"/>
    <col min="12039" max="12039" width="42.7109375" style="70" customWidth="1"/>
    <col min="12040" max="12288" width="9.140625" style="70"/>
    <col min="12289" max="12289" width="5.85546875" style="70" bestFit="1" customWidth="1"/>
    <col min="12290" max="12290" width="42.7109375" style="70" customWidth="1"/>
    <col min="12291" max="12293" width="4" style="70" customWidth="1"/>
    <col min="12294" max="12294" width="5.28515625" style="70" customWidth="1"/>
    <col min="12295" max="12295" width="42.7109375" style="70" customWidth="1"/>
    <col min="12296" max="12544" width="9.140625" style="70"/>
    <col min="12545" max="12545" width="5.85546875" style="70" bestFit="1" customWidth="1"/>
    <col min="12546" max="12546" width="42.7109375" style="70" customWidth="1"/>
    <col min="12547" max="12549" width="4" style="70" customWidth="1"/>
    <col min="12550" max="12550" width="5.28515625" style="70" customWidth="1"/>
    <col min="12551" max="12551" width="42.7109375" style="70" customWidth="1"/>
    <col min="12552" max="12800" width="9.140625" style="70"/>
    <col min="12801" max="12801" width="5.85546875" style="70" bestFit="1" customWidth="1"/>
    <col min="12802" max="12802" width="42.7109375" style="70" customWidth="1"/>
    <col min="12803" max="12805" width="4" style="70" customWidth="1"/>
    <col min="12806" max="12806" width="5.28515625" style="70" customWidth="1"/>
    <col min="12807" max="12807" width="42.7109375" style="70" customWidth="1"/>
    <col min="12808" max="13056" width="9.140625" style="70"/>
    <col min="13057" max="13057" width="5.85546875" style="70" bestFit="1" customWidth="1"/>
    <col min="13058" max="13058" width="42.7109375" style="70" customWidth="1"/>
    <col min="13059" max="13061" width="4" style="70" customWidth="1"/>
    <col min="13062" max="13062" width="5.28515625" style="70" customWidth="1"/>
    <col min="13063" max="13063" width="42.7109375" style="70" customWidth="1"/>
    <col min="13064" max="13312" width="9.140625" style="70"/>
    <col min="13313" max="13313" width="5.85546875" style="70" bestFit="1" customWidth="1"/>
    <col min="13314" max="13314" width="42.7109375" style="70" customWidth="1"/>
    <col min="13315" max="13317" width="4" style="70" customWidth="1"/>
    <col min="13318" max="13318" width="5.28515625" style="70" customWidth="1"/>
    <col min="13319" max="13319" width="42.7109375" style="70" customWidth="1"/>
    <col min="13320" max="13568" width="9.140625" style="70"/>
    <col min="13569" max="13569" width="5.85546875" style="70" bestFit="1" customWidth="1"/>
    <col min="13570" max="13570" width="42.7109375" style="70" customWidth="1"/>
    <col min="13571" max="13573" width="4" style="70" customWidth="1"/>
    <col min="13574" max="13574" width="5.28515625" style="70" customWidth="1"/>
    <col min="13575" max="13575" width="42.7109375" style="70" customWidth="1"/>
    <col min="13576" max="13824" width="9.140625" style="70"/>
    <col min="13825" max="13825" width="5.85546875" style="70" bestFit="1" customWidth="1"/>
    <col min="13826" max="13826" width="42.7109375" style="70" customWidth="1"/>
    <col min="13827" max="13829" width="4" style="70" customWidth="1"/>
    <col min="13830" max="13830" width="5.28515625" style="70" customWidth="1"/>
    <col min="13831" max="13831" width="42.7109375" style="70" customWidth="1"/>
    <col min="13832" max="14080" width="9.140625" style="70"/>
    <col min="14081" max="14081" width="5.85546875" style="70" bestFit="1" customWidth="1"/>
    <col min="14082" max="14082" width="42.7109375" style="70" customWidth="1"/>
    <col min="14083" max="14085" width="4" style="70" customWidth="1"/>
    <col min="14086" max="14086" width="5.28515625" style="70" customWidth="1"/>
    <col min="14087" max="14087" width="42.7109375" style="70" customWidth="1"/>
    <col min="14088" max="14336" width="9.140625" style="70"/>
    <col min="14337" max="14337" width="5.85546875" style="70" bestFit="1" customWidth="1"/>
    <col min="14338" max="14338" width="42.7109375" style="70" customWidth="1"/>
    <col min="14339" max="14341" width="4" style="70" customWidth="1"/>
    <col min="14342" max="14342" width="5.28515625" style="70" customWidth="1"/>
    <col min="14343" max="14343" width="42.7109375" style="70" customWidth="1"/>
    <col min="14344" max="14592" width="9.140625" style="70"/>
    <col min="14593" max="14593" width="5.85546875" style="70" bestFit="1" customWidth="1"/>
    <col min="14594" max="14594" width="42.7109375" style="70" customWidth="1"/>
    <col min="14595" max="14597" width="4" style="70" customWidth="1"/>
    <col min="14598" max="14598" width="5.28515625" style="70" customWidth="1"/>
    <col min="14599" max="14599" width="42.7109375" style="70" customWidth="1"/>
    <col min="14600" max="14848" width="9.140625" style="70"/>
    <col min="14849" max="14849" width="5.85546875" style="70" bestFit="1" customWidth="1"/>
    <col min="14850" max="14850" width="42.7109375" style="70" customWidth="1"/>
    <col min="14851" max="14853" width="4" style="70" customWidth="1"/>
    <col min="14854" max="14854" width="5.28515625" style="70" customWidth="1"/>
    <col min="14855" max="14855" width="42.7109375" style="70" customWidth="1"/>
    <col min="14856" max="15104" width="9.140625" style="70"/>
    <col min="15105" max="15105" width="5.85546875" style="70" bestFit="1" customWidth="1"/>
    <col min="15106" max="15106" width="42.7109375" style="70" customWidth="1"/>
    <col min="15107" max="15109" width="4" style="70" customWidth="1"/>
    <col min="15110" max="15110" width="5.28515625" style="70" customWidth="1"/>
    <col min="15111" max="15111" width="42.7109375" style="70" customWidth="1"/>
    <col min="15112" max="15360" width="9.140625" style="70"/>
    <col min="15361" max="15361" width="5.85546875" style="70" bestFit="1" customWidth="1"/>
    <col min="15362" max="15362" width="42.7109375" style="70" customWidth="1"/>
    <col min="15363" max="15365" width="4" style="70" customWidth="1"/>
    <col min="15366" max="15366" width="5.28515625" style="70" customWidth="1"/>
    <col min="15367" max="15367" width="42.7109375" style="70" customWidth="1"/>
    <col min="15368" max="15616" width="9.140625" style="70"/>
    <col min="15617" max="15617" width="5.85546875" style="70" bestFit="1" customWidth="1"/>
    <col min="15618" max="15618" width="42.7109375" style="70" customWidth="1"/>
    <col min="15619" max="15621" width="4" style="70" customWidth="1"/>
    <col min="15622" max="15622" width="5.28515625" style="70" customWidth="1"/>
    <col min="15623" max="15623" width="42.7109375" style="70" customWidth="1"/>
    <col min="15624" max="15872" width="9.140625" style="70"/>
    <col min="15873" max="15873" width="5.85546875" style="70" bestFit="1" customWidth="1"/>
    <col min="15874" max="15874" width="42.7109375" style="70" customWidth="1"/>
    <col min="15875" max="15877" width="4" style="70" customWidth="1"/>
    <col min="15878" max="15878" width="5.28515625" style="70" customWidth="1"/>
    <col min="15879" max="15879" width="42.7109375" style="70" customWidth="1"/>
    <col min="15880" max="16128" width="9.140625" style="70"/>
    <col min="16129" max="16129" width="5.85546875" style="70" bestFit="1" customWidth="1"/>
    <col min="16130" max="16130" width="42.7109375" style="70" customWidth="1"/>
    <col min="16131" max="16133" width="4" style="70" customWidth="1"/>
    <col min="16134" max="16134" width="5.28515625" style="70" customWidth="1"/>
    <col min="16135" max="16135" width="42.7109375" style="70" customWidth="1"/>
    <col min="16136" max="16384" width="9.140625" style="70"/>
  </cols>
  <sheetData>
    <row r="1" spans="1:7" ht="21.75" customHeight="1">
      <c r="G1" s="502" t="s">
        <v>334</v>
      </c>
    </row>
    <row r="2" spans="1:7" ht="26.25">
      <c r="A2" s="71" t="s">
        <v>335</v>
      </c>
      <c r="B2" s="72"/>
      <c r="C2" s="73"/>
      <c r="D2" s="73"/>
      <c r="E2" s="73"/>
      <c r="F2" s="74"/>
      <c r="G2" s="74"/>
    </row>
    <row r="4" spans="1:7" ht="18.75">
      <c r="A4" s="1604" t="s">
        <v>148</v>
      </c>
      <c r="B4" s="1604"/>
      <c r="C4" s="75"/>
      <c r="D4" s="75"/>
      <c r="E4" s="75"/>
      <c r="F4" s="1605" t="s">
        <v>147</v>
      </c>
      <c r="G4" s="1605"/>
    </row>
    <row r="5" spans="1:7" s="81" customFormat="1" ht="15.75">
      <c r="A5" s="76" t="s">
        <v>336</v>
      </c>
      <c r="B5" s="77" t="s">
        <v>337</v>
      </c>
      <c r="C5" s="78"/>
      <c r="D5" s="78"/>
      <c r="E5" s="78"/>
      <c r="F5" s="79" t="s">
        <v>336</v>
      </c>
      <c r="G5" s="80" t="s">
        <v>337</v>
      </c>
    </row>
    <row r="6" spans="1:7">
      <c r="A6" s="82">
        <v>1</v>
      </c>
      <c r="B6" s="83" t="s">
        <v>148</v>
      </c>
      <c r="F6" s="84">
        <v>1</v>
      </c>
      <c r="G6" s="85" t="s">
        <v>338</v>
      </c>
    </row>
    <row r="7" spans="1:7">
      <c r="A7" s="86">
        <v>2</v>
      </c>
      <c r="B7" s="87" t="s">
        <v>339</v>
      </c>
      <c r="F7" s="88">
        <v>2</v>
      </c>
      <c r="G7" s="89" t="s">
        <v>340</v>
      </c>
    </row>
    <row r="8" spans="1:7">
      <c r="A8" s="86">
        <v>3</v>
      </c>
      <c r="B8" s="87" t="s">
        <v>341</v>
      </c>
      <c r="F8" s="88">
        <v>3</v>
      </c>
      <c r="G8" s="89" t="s">
        <v>342</v>
      </c>
    </row>
    <row r="9" spans="1:7">
      <c r="A9" s="86">
        <v>4</v>
      </c>
      <c r="B9" s="87" t="s">
        <v>343</v>
      </c>
      <c r="F9" s="84">
        <v>4</v>
      </c>
      <c r="G9" s="89" t="s">
        <v>344</v>
      </c>
    </row>
    <row r="10" spans="1:7">
      <c r="A10" s="86">
        <v>5</v>
      </c>
      <c r="B10" s="87" t="s">
        <v>345</v>
      </c>
      <c r="F10" s="88">
        <v>5</v>
      </c>
      <c r="G10" s="89" t="s">
        <v>346</v>
      </c>
    </row>
    <row r="11" spans="1:7">
      <c r="A11" s="86">
        <v>6</v>
      </c>
      <c r="B11" s="87" t="s">
        <v>347</v>
      </c>
      <c r="F11" s="88">
        <v>6</v>
      </c>
      <c r="G11" s="89" t="s">
        <v>348</v>
      </c>
    </row>
    <row r="12" spans="1:7">
      <c r="A12" s="86">
        <v>7</v>
      </c>
      <c r="B12" s="87" t="s">
        <v>349</v>
      </c>
      <c r="F12" s="84">
        <v>7</v>
      </c>
      <c r="G12" s="89" t="s">
        <v>350</v>
      </c>
    </row>
    <row r="13" spans="1:7">
      <c r="A13" s="86">
        <v>8</v>
      </c>
      <c r="B13" s="87" t="s">
        <v>351</v>
      </c>
      <c r="F13" s="88">
        <v>8</v>
      </c>
      <c r="G13" s="89" t="s">
        <v>352</v>
      </c>
    </row>
    <row r="14" spans="1:7">
      <c r="A14" s="86">
        <v>9</v>
      </c>
      <c r="B14" s="87" t="s">
        <v>353</v>
      </c>
      <c r="F14" s="88">
        <v>9</v>
      </c>
      <c r="G14" s="89" t="s">
        <v>354</v>
      </c>
    </row>
    <row r="15" spans="1:7">
      <c r="A15" s="86">
        <v>10</v>
      </c>
      <c r="B15" s="87" t="s">
        <v>355</v>
      </c>
      <c r="F15" s="84">
        <v>10</v>
      </c>
      <c r="G15" s="89" t="s">
        <v>356</v>
      </c>
    </row>
    <row r="16" spans="1:7">
      <c r="A16" s="86">
        <v>11</v>
      </c>
      <c r="B16" s="87" t="s">
        <v>357</v>
      </c>
      <c r="F16" s="88">
        <v>11</v>
      </c>
      <c r="G16" s="89" t="s">
        <v>358</v>
      </c>
    </row>
    <row r="17" spans="1:7">
      <c r="A17" s="86">
        <v>12</v>
      </c>
      <c r="B17" s="87" t="s">
        <v>359</v>
      </c>
      <c r="F17" s="88">
        <v>12</v>
      </c>
      <c r="G17" s="89" t="s">
        <v>360</v>
      </c>
    </row>
    <row r="18" spans="1:7">
      <c r="A18" s="86">
        <v>13</v>
      </c>
      <c r="B18" s="87" t="s">
        <v>361</v>
      </c>
      <c r="F18" s="84">
        <v>13</v>
      </c>
      <c r="G18" s="89" t="s">
        <v>362</v>
      </c>
    </row>
    <row r="19" spans="1:7">
      <c r="A19" s="86">
        <v>14</v>
      </c>
      <c r="B19" s="87" t="s">
        <v>363</v>
      </c>
      <c r="F19" s="88">
        <v>14</v>
      </c>
      <c r="G19" s="89" t="s">
        <v>364</v>
      </c>
    </row>
    <row r="20" spans="1:7">
      <c r="A20" s="86">
        <v>15</v>
      </c>
      <c r="B20" s="87" t="s">
        <v>365</v>
      </c>
      <c r="F20" s="88">
        <v>15</v>
      </c>
      <c r="G20" s="89" t="s">
        <v>366</v>
      </c>
    </row>
    <row r="21" spans="1:7">
      <c r="A21" s="86">
        <v>17</v>
      </c>
      <c r="B21" s="87" t="s">
        <v>367</v>
      </c>
      <c r="F21" s="84">
        <v>16</v>
      </c>
      <c r="G21" s="89" t="s">
        <v>368</v>
      </c>
    </row>
    <row r="22" spans="1:7">
      <c r="A22" s="90">
        <v>18</v>
      </c>
      <c r="B22" s="91" t="s">
        <v>369</v>
      </c>
      <c r="F22" s="88">
        <v>17</v>
      </c>
      <c r="G22" s="89" t="s">
        <v>333</v>
      </c>
    </row>
    <row r="23" spans="1:7">
      <c r="A23" s="92"/>
      <c r="B23" s="93"/>
      <c r="F23" s="88">
        <v>18</v>
      </c>
      <c r="G23" s="89" t="s">
        <v>370</v>
      </c>
    </row>
    <row r="24" spans="1:7">
      <c r="A24" s="92"/>
      <c r="B24" s="93"/>
      <c r="F24" s="84">
        <v>19</v>
      </c>
      <c r="G24" s="89" t="s">
        <v>371</v>
      </c>
    </row>
    <row r="25" spans="1:7" s="81" customFormat="1" ht="18.75">
      <c r="A25" s="94" t="s">
        <v>372</v>
      </c>
      <c r="B25" s="95"/>
      <c r="C25" s="75"/>
      <c r="D25" s="75"/>
      <c r="E25" s="75"/>
      <c r="F25" s="88">
        <v>20</v>
      </c>
      <c r="G25" s="89" t="s">
        <v>373</v>
      </c>
    </row>
    <row r="26" spans="1:7" ht="15.75">
      <c r="A26" s="96" t="s">
        <v>336</v>
      </c>
      <c r="B26" s="97" t="s">
        <v>337</v>
      </c>
      <c r="C26" s="78"/>
      <c r="D26" s="78"/>
      <c r="E26" s="78"/>
      <c r="F26" s="88">
        <v>21</v>
      </c>
      <c r="G26" s="89" t="s">
        <v>374</v>
      </c>
    </row>
    <row r="27" spans="1:7">
      <c r="A27" s="98">
        <v>1</v>
      </c>
      <c r="B27" s="99" t="s">
        <v>375</v>
      </c>
      <c r="F27" s="84">
        <v>22</v>
      </c>
      <c r="G27" s="89" t="s">
        <v>376</v>
      </c>
    </row>
    <row r="28" spans="1:7">
      <c r="A28" s="100">
        <v>2</v>
      </c>
      <c r="B28" s="101" t="s">
        <v>377</v>
      </c>
      <c r="F28" s="88">
        <v>23</v>
      </c>
      <c r="G28" s="89" t="s">
        <v>378</v>
      </c>
    </row>
    <row r="29" spans="1:7">
      <c r="A29" s="100">
        <v>3</v>
      </c>
      <c r="B29" s="101" t="s">
        <v>379</v>
      </c>
      <c r="F29" s="88">
        <v>24</v>
      </c>
      <c r="G29" s="89" t="s">
        <v>380</v>
      </c>
    </row>
    <row r="30" spans="1:7">
      <c r="A30" s="100">
        <v>4</v>
      </c>
      <c r="B30" s="101" t="s">
        <v>381</v>
      </c>
      <c r="F30" s="84">
        <v>25</v>
      </c>
      <c r="G30" s="89" t="s">
        <v>382</v>
      </c>
    </row>
    <row r="31" spans="1:7">
      <c r="A31" s="100">
        <v>5</v>
      </c>
      <c r="B31" s="101" t="s">
        <v>383</v>
      </c>
      <c r="F31" s="88">
        <v>26</v>
      </c>
      <c r="G31" s="89" t="s">
        <v>384</v>
      </c>
    </row>
    <row r="32" spans="1:7">
      <c r="A32" s="100">
        <v>6</v>
      </c>
      <c r="B32" s="101" t="s">
        <v>385</v>
      </c>
      <c r="F32" s="88">
        <v>27</v>
      </c>
      <c r="G32" s="89" t="s">
        <v>386</v>
      </c>
    </row>
    <row r="33" spans="1:7">
      <c r="A33" s="100">
        <v>7</v>
      </c>
      <c r="B33" s="101" t="s">
        <v>387</v>
      </c>
      <c r="F33" s="84">
        <v>28</v>
      </c>
      <c r="G33" s="89" t="s">
        <v>388</v>
      </c>
    </row>
    <row r="34" spans="1:7">
      <c r="A34" s="100">
        <v>8</v>
      </c>
      <c r="B34" s="101" t="s">
        <v>389</v>
      </c>
      <c r="F34" s="88">
        <v>29</v>
      </c>
      <c r="G34" s="89" t="s">
        <v>390</v>
      </c>
    </row>
    <row r="35" spans="1:7">
      <c r="A35" s="100">
        <v>9</v>
      </c>
      <c r="B35" s="101" t="s">
        <v>391</v>
      </c>
      <c r="F35" s="88">
        <v>30</v>
      </c>
      <c r="G35" s="89" t="s">
        <v>392</v>
      </c>
    </row>
    <row r="36" spans="1:7">
      <c r="A36" s="100">
        <v>10</v>
      </c>
      <c r="B36" s="101" t="s">
        <v>393</v>
      </c>
      <c r="F36" s="84">
        <v>31</v>
      </c>
      <c r="G36" s="89" t="s">
        <v>394</v>
      </c>
    </row>
    <row r="37" spans="1:7">
      <c r="A37" s="100">
        <v>11</v>
      </c>
      <c r="B37" s="101" t="s">
        <v>395</v>
      </c>
      <c r="F37" s="88">
        <v>32</v>
      </c>
      <c r="G37" s="89" t="s">
        <v>396</v>
      </c>
    </row>
    <row r="38" spans="1:7">
      <c r="A38" s="100">
        <v>12</v>
      </c>
      <c r="B38" s="101" t="s">
        <v>397</v>
      </c>
      <c r="F38" s="88">
        <v>33</v>
      </c>
      <c r="G38" s="89" t="s">
        <v>398</v>
      </c>
    </row>
    <row r="39" spans="1:7">
      <c r="A39" s="100">
        <v>13</v>
      </c>
      <c r="B39" s="101" t="s">
        <v>399</v>
      </c>
      <c r="F39" s="84">
        <v>34</v>
      </c>
      <c r="G39" s="89" t="s">
        <v>400</v>
      </c>
    </row>
    <row r="40" spans="1:7">
      <c r="A40" s="100">
        <v>14</v>
      </c>
      <c r="B40" s="101" t="s">
        <v>401</v>
      </c>
      <c r="F40" s="88">
        <v>35</v>
      </c>
      <c r="G40" s="89" t="s">
        <v>402</v>
      </c>
    </row>
    <row r="41" spans="1:7">
      <c r="A41" s="100">
        <v>15</v>
      </c>
      <c r="B41" s="101" t="s">
        <v>403</v>
      </c>
      <c r="F41" s="88">
        <v>36</v>
      </c>
      <c r="G41" s="89" t="s">
        <v>332</v>
      </c>
    </row>
    <row r="42" spans="1:7">
      <c r="A42" s="100">
        <v>16</v>
      </c>
      <c r="B42" s="101" t="s">
        <v>404</v>
      </c>
      <c r="F42" s="84">
        <v>37</v>
      </c>
      <c r="G42" s="89" t="s">
        <v>405</v>
      </c>
    </row>
    <row r="43" spans="1:7">
      <c r="A43" s="100">
        <v>17</v>
      </c>
      <c r="B43" s="101" t="s">
        <v>406</v>
      </c>
      <c r="F43" s="88">
        <v>38</v>
      </c>
      <c r="G43" s="89" t="s">
        <v>407</v>
      </c>
    </row>
    <row r="44" spans="1:7">
      <c r="A44" s="100">
        <v>18</v>
      </c>
      <c r="B44" s="101" t="s">
        <v>408</v>
      </c>
      <c r="F44" s="88">
        <v>39</v>
      </c>
      <c r="G44" s="89" t="s">
        <v>409</v>
      </c>
    </row>
    <row r="45" spans="1:7">
      <c r="A45" s="100">
        <v>19</v>
      </c>
      <c r="B45" s="101" t="s">
        <v>410</v>
      </c>
      <c r="F45" s="84">
        <v>40</v>
      </c>
      <c r="G45" s="89" t="s">
        <v>411</v>
      </c>
    </row>
    <row r="46" spans="1:7">
      <c r="A46" s="100">
        <v>20</v>
      </c>
      <c r="B46" s="101" t="s">
        <v>412</v>
      </c>
      <c r="F46" s="88">
        <v>41</v>
      </c>
      <c r="G46" s="89" t="s">
        <v>413</v>
      </c>
    </row>
    <row r="47" spans="1:7">
      <c r="A47" s="100">
        <v>21</v>
      </c>
      <c r="B47" s="101" t="s">
        <v>414</v>
      </c>
      <c r="F47" s="88">
        <v>42</v>
      </c>
      <c r="G47" s="89" t="s">
        <v>415</v>
      </c>
    </row>
    <row r="48" spans="1:7">
      <c r="A48" s="100">
        <v>22</v>
      </c>
      <c r="B48" s="101" t="s">
        <v>416</v>
      </c>
      <c r="F48" s="84">
        <v>43</v>
      </c>
      <c r="G48" s="89" t="s">
        <v>417</v>
      </c>
    </row>
    <row r="49" spans="1:7">
      <c r="A49" s="100">
        <v>23</v>
      </c>
      <c r="B49" s="101" t="s">
        <v>418</v>
      </c>
      <c r="F49" s="88">
        <v>44</v>
      </c>
      <c r="G49" s="89" t="s">
        <v>419</v>
      </c>
    </row>
    <row r="50" spans="1:7">
      <c r="A50" s="100">
        <v>24</v>
      </c>
      <c r="B50" s="101" t="s">
        <v>420</v>
      </c>
      <c r="F50" s="88">
        <v>45</v>
      </c>
      <c r="G50" s="89" t="s">
        <v>421</v>
      </c>
    </row>
    <row r="51" spans="1:7">
      <c r="A51" s="100">
        <v>25</v>
      </c>
      <c r="B51" s="101" t="s">
        <v>422</v>
      </c>
      <c r="F51" s="84">
        <v>46</v>
      </c>
      <c r="G51" s="89" t="s">
        <v>423</v>
      </c>
    </row>
    <row r="52" spans="1:7">
      <c r="A52" s="100">
        <v>26</v>
      </c>
      <c r="B52" s="101" t="s">
        <v>424</v>
      </c>
      <c r="F52" s="88">
        <v>47</v>
      </c>
      <c r="G52" s="89" t="s">
        <v>425</v>
      </c>
    </row>
    <row r="53" spans="1:7">
      <c r="A53" s="100">
        <v>27</v>
      </c>
      <c r="B53" s="101" t="s">
        <v>426</v>
      </c>
      <c r="F53" s="88">
        <v>48</v>
      </c>
      <c r="G53" s="89" t="s">
        <v>427</v>
      </c>
    </row>
    <row r="54" spans="1:7">
      <c r="A54" s="100">
        <v>28</v>
      </c>
      <c r="B54" s="101" t="s">
        <v>428</v>
      </c>
      <c r="F54" s="84">
        <v>49</v>
      </c>
      <c r="G54" s="89" t="s">
        <v>147</v>
      </c>
    </row>
    <row r="55" spans="1:7">
      <c r="A55" s="100">
        <v>29</v>
      </c>
      <c r="B55" s="101" t="s">
        <v>429</v>
      </c>
      <c r="F55" s="88">
        <v>50</v>
      </c>
      <c r="G55" s="89" t="s">
        <v>430</v>
      </c>
    </row>
    <row r="56" spans="1:7">
      <c r="A56" s="100">
        <v>30</v>
      </c>
      <c r="B56" s="101" t="s">
        <v>431</v>
      </c>
      <c r="F56" s="88">
        <v>51</v>
      </c>
      <c r="G56" s="89" t="s">
        <v>432</v>
      </c>
    </row>
    <row r="57" spans="1:7">
      <c r="A57" s="100">
        <v>31</v>
      </c>
      <c r="B57" s="101" t="s">
        <v>433</v>
      </c>
      <c r="F57" s="84">
        <v>52</v>
      </c>
      <c r="G57" s="89" t="s">
        <v>434</v>
      </c>
    </row>
    <row r="58" spans="1:7">
      <c r="A58" s="100">
        <v>32</v>
      </c>
      <c r="B58" s="101" t="s">
        <v>435</v>
      </c>
      <c r="F58" s="88">
        <v>53</v>
      </c>
      <c r="G58" s="89" t="s">
        <v>436</v>
      </c>
    </row>
    <row r="59" spans="1:7">
      <c r="A59" s="100">
        <v>33</v>
      </c>
      <c r="B59" s="101" t="s">
        <v>437</v>
      </c>
      <c r="F59" s="88">
        <v>54</v>
      </c>
      <c r="G59" s="102" t="s">
        <v>438</v>
      </c>
    </row>
    <row r="60" spans="1:7">
      <c r="A60" s="100">
        <v>34</v>
      </c>
      <c r="B60" s="101" t="s">
        <v>439</v>
      </c>
    </row>
    <row r="61" spans="1:7">
      <c r="A61" s="100">
        <v>35</v>
      </c>
      <c r="B61" s="101" t="s">
        <v>440</v>
      </c>
    </row>
    <row r="62" spans="1:7">
      <c r="A62" s="100">
        <v>36</v>
      </c>
      <c r="B62" s="101" t="s">
        <v>441</v>
      </c>
    </row>
    <row r="63" spans="1:7">
      <c r="A63" s="100">
        <v>37</v>
      </c>
      <c r="B63" s="101" t="s">
        <v>442</v>
      </c>
    </row>
    <row r="64" spans="1:7">
      <c r="A64" s="100">
        <v>38</v>
      </c>
      <c r="B64" s="101" t="s">
        <v>443</v>
      </c>
    </row>
    <row r="65" spans="1:7" ht="15.75">
      <c r="A65" s="100">
        <v>39</v>
      </c>
      <c r="B65" s="101" t="s">
        <v>444</v>
      </c>
      <c r="F65" s="103"/>
      <c r="G65" s="103"/>
    </row>
    <row r="66" spans="1:7">
      <c r="A66" s="100">
        <v>40</v>
      </c>
      <c r="B66" s="101" t="s">
        <v>445</v>
      </c>
    </row>
    <row r="67" spans="1:7" s="81" customFormat="1" ht="15.75">
      <c r="A67" s="100">
        <v>41</v>
      </c>
      <c r="B67" s="157" t="s">
        <v>446</v>
      </c>
      <c r="C67" s="69"/>
      <c r="D67" s="69"/>
      <c r="E67" s="69"/>
      <c r="F67" s="67"/>
      <c r="G67" s="67"/>
    </row>
    <row r="68" spans="1:7">
      <c r="A68" s="100">
        <v>42</v>
      </c>
      <c r="B68" s="101" t="s">
        <v>447</v>
      </c>
    </row>
    <row r="69" spans="1:7">
      <c r="A69" s="100">
        <v>43</v>
      </c>
      <c r="B69" s="101" t="s">
        <v>448</v>
      </c>
    </row>
    <row r="70" spans="1:7">
      <c r="A70" s="100">
        <v>44</v>
      </c>
      <c r="B70" s="101" t="s">
        <v>449</v>
      </c>
    </row>
    <row r="71" spans="1:7">
      <c r="A71" s="100">
        <v>45</v>
      </c>
      <c r="B71" s="101" t="s">
        <v>449</v>
      </c>
    </row>
    <row r="72" spans="1:7">
      <c r="A72" s="100">
        <v>46</v>
      </c>
      <c r="B72" s="101" t="s">
        <v>450</v>
      </c>
    </row>
    <row r="73" spans="1:7">
      <c r="A73" s="100">
        <v>47</v>
      </c>
      <c r="B73" s="101" t="s">
        <v>451</v>
      </c>
    </row>
    <row r="74" spans="1:7">
      <c r="A74" s="104">
        <v>48</v>
      </c>
      <c r="B74" s="105" t="s">
        <v>452</v>
      </c>
    </row>
    <row r="75" spans="1:7" ht="18.75">
      <c r="A75" s="106" t="s">
        <v>453</v>
      </c>
      <c r="B75" s="70"/>
      <c r="C75" s="75"/>
      <c r="D75" s="75"/>
      <c r="E75" s="75"/>
      <c r="F75" s="107" t="s">
        <v>454</v>
      </c>
    </row>
    <row r="76" spans="1:7" s="81" customFormat="1" ht="15.75">
      <c r="A76" s="76" t="s">
        <v>336</v>
      </c>
      <c r="B76" s="97" t="s">
        <v>337</v>
      </c>
      <c r="C76" s="78"/>
      <c r="D76" s="78"/>
      <c r="E76" s="78"/>
      <c r="F76" s="108" t="s">
        <v>336</v>
      </c>
      <c r="G76" s="109" t="s">
        <v>337</v>
      </c>
    </row>
    <row r="77" spans="1:7">
      <c r="A77" s="110">
        <v>1</v>
      </c>
      <c r="B77" s="111" t="s">
        <v>455</v>
      </c>
      <c r="F77" s="112">
        <v>1</v>
      </c>
      <c r="G77" s="113" t="s">
        <v>456</v>
      </c>
    </row>
    <row r="78" spans="1:7">
      <c r="A78" s="114">
        <v>2</v>
      </c>
      <c r="B78" s="115" t="s">
        <v>457</v>
      </c>
      <c r="F78" s="116">
        <v>2</v>
      </c>
      <c r="G78" s="117" t="s">
        <v>458</v>
      </c>
    </row>
    <row r="79" spans="1:7">
      <c r="A79" s="114">
        <v>3</v>
      </c>
      <c r="B79" s="115" t="s">
        <v>459</v>
      </c>
      <c r="F79" s="116">
        <v>3</v>
      </c>
      <c r="G79" s="117" t="s">
        <v>460</v>
      </c>
    </row>
    <row r="80" spans="1:7">
      <c r="A80" s="114">
        <v>4</v>
      </c>
      <c r="B80" s="115" t="s">
        <v>461</v>
      </c>
      <c r="F80" s="116">
        <v>4</v>
      </c>
      <c r="G80" s="117" t="s">
        <v>462</v>
      </c>
    </row>
    <row r="81" spans="1:7">
      <c r="A81" s="114">
        <v>5</v>
      </c>
      <c r="B81" s="115" t="s">
        <v>463</v>
      </c>
      <c r="F81" s="116">
        <v>5</v>
      </c>
      <c r="G81" s="117" t="s">
        <v>464</v>
      </c>
    </row>
    <row r="82" spans="1:7">
      <c r="A82" s="114">
        <v>6</v>
      </c>
      <c r="B82" s="115" t="s">
        <v>465</v>
      </c>
      <c r="F82" s="116">
        <v>6</v>
      </c>
      <c r="G82" s="117" t="s">
        <v>466</v>
      </c>
    </row>
    <row r="83" spans="1:7">
      <c r="A83" s="114">
        <v>7</v>
      </c>
      <c r="B83" s="115" t="s">
        <v>467</v>
      </c>
      <c r="F83" s="116">
        <v>7</v>
      </c>
      <c r="G83" s="117" t="s">
        <v>468</v>
      </c>
    </row>
    <row r="84" spans="1:7" s="81" customFormat="1" ht="15.75">
      <c r="A84" s="114">
        <v>8</v>
      </c>
      <c r="B84" s="115" t="s">
        <v>469</v>
      </c>
      <c r="C84" s="69"/>
      <c r="D84" s="69"/>
      <c r="E84" s="69"/>
      <c r="F84" s="116">
        <v>8</v>
      </c>
      <c r="G84" s="117" t="s">
        <v>470</v>
      </c>
    </row>
    <row r="85" spans="1:7">
      <c r="A85" s="114">
        <v>9</v>
      </c>
      <c r="B85" s="115" t="s">
        <v>471</v>
      </c>
      <c r="F85" s="116">
        <v>9</v>
      </c>
      <c r="G85" s="117" t="s">
        <v>472</v>
      </c>
    </row>
    <row r="86" spans="1:7">
      <c r="A86" s="114">
        <v>10</v>
      </c>
      <c r="B86" s="115" t="s">
        <v>473</v>
      </c>
      <c r="F86" s="116">
        <v>10</v>
      </c>
      <c r="G86" s="117" t="s">
        <v>474</v>
      </c>
    </row>
    <row r="87" spans="1:7">
      <c r="A87" s="114">
        <v>11</v>
      </c>
      <c r="B87" s="115" t="s">
        <v>475</v>
      </c>
      <c r="F87" s="116">
        <v>11</v>
      </c>
      <c r="G87" s="117" t="s">
        <v>476</v>
      </c>
    </row>
    <row r="88" spans="1:7">
      <c r="A88" s="114">
        <v>12</v>
      </c>
      <c r="B88" s="115" t="s">
        <v>477</v>
      </c>
      <c r="F88" s="116">
        <v>12</v>
      </c>
      <c r="G88" s="117" t="s">
        <v>478</v>
      </c>
    </row>
    <row r="89" spans="1:7">
      <c r="A89" s="114">
        <v>13</v>
      </c>
      <c r="B89" s="115" t="s">
        <v>479</v>
      </c>
      <c r="F89" s="116">
        <v>13</v>
      </c>
      <c r="G89" s="117" t="s">
        <v>480</v>
      </c>
    </row>
    <row r="90" spans="1:7">
      <c r="A90" s="114">
        <v>14</v>
      </c>
      <c r="B90" s="115" t="s">
        <v>481</v>
      </c>
      <c r="F90" s="116">
        <v>14</v>
      </c>
      <c r="G90" s="117" t="s">
        <v>482</v>
      </c>
    </row>
    <row r="91" spans="1:7">
      <c r="A91" s="114">
        <v>15</v>
      </c>
      <c r="B91" s="115" t="s">
        <v>483</v>
      </c>
      <c r="F91" s="116">
        <v>15</v>
      </c>
      <c r="G91" s="117" t="s">
        <v>484</v>
      </c>
    </row>
    <row r="92" spans="1:7">
      <c r="A92" s="114">
        <v>16</v>
      </c>
      <c r="B92" s="115" t="s">
        <v>485</v>
      </c>
      <c r="F92" s="116">
        <v>16</v>
      </c>
      <c r="G92" s="117" t="s">
        <v>486</v>
      </c>
    </row>
    <row r="93" spans="1:7">
      <c r="A93" s="114">
        <v>17</v>
      </c>
      <c r="B93" s="115" t="s">
        <v>487</v>
      </c>
      <c r="F93" s="116">
        <v>17</v>
      </c>
      <c r="G93" s="117" t="s">
        <v>488</v>
      </c>
    </row>
    <row r="94" spans="1:7">
      <c r="A94" s="114">
        <v>18</v>
      </c>
      <c r="B94" s="115" t="s">
        <v>489</v>
      </c>
      <c r="F94" s="116">
        <v>18</v>
      </c>
      <c r="G94" s="117" t="s">
        <v>490</v>
      </c>
    </row>
    <row r="95" spans="1:7">
      <c r="A95" s="114">
        <v>19</v>
      </c>
      <c r="B95" s="115" t="s">
        <v>491</v>
      </c>
      <c r="F95" s="116">
        <v>19</v>
      </c>
      <c r="G95" s="117" t="s">
        <v>492</v>
      </c>
    </row>
    <row r="96" spans="1:7">
      <c r="A96" s="114">
        <v>20</v>
      </c>
      <c r="B96" s="115" t="s">
        <v>493</v>
      </c>
      <c r="F96" s="116">
        <v>20</v>
      </c>
      <c r="G96" s="117" t="s">
        <v>494</v>
      </c>
    </row>
    <row r="97" spans="1:7">
      <c r="A97" s="114">
        <v>21</v>
      </c>
      <c r="B97" s="115" t="s">
        <v>495</v>
      </c>
      <c r="F97" s="116">
        <v>21</v>
      </c>
      <c r="G97" s="117" t="s">
        <v>496</v>
      </c>
    </row>
    <row r="98" spans="1:7">
      <c r="A98" s="114">
        <v>22</v>
      </c>
      <c r="B98" s="115" t="s">
        <v>497</v>
      </c>
      <c r="F98" s="116">
        <v>22</v>
      </c>
      <c r="G98" s="117" t="s">
        <v>498</v>
      </c>
    </row>
    <row r="99" spans="1:7">
      <c r="A99" s="114">
        <v>23</v>
      </c>
      <c r="B99" s="115" t="s">
        <v>499</v>
      </c>
      <c r="F99" s="116">
        <v>23</v>
      </c>
      <c r="G99" s="117" t="s">
        <v>500</v>
      </c>
    </row>
    <row r="100" spans="1:7">
      <c r="A100" s="114">
        <v>24</v>
      </c>
      <c r="B100" s="115" t="s">
        <v>501</v>
      </c>
      <c r="F100" s="116">
        <v>24</v>
      </c>
      <c r="G100" s="117" t="s">
        <v>502</v>
      </c>
    </row>
    <row r="101" spans="1:7">
      <c r="A101" s="114">
        <v>25</v>
      </c>
      <c r="B101" s="115" t="s">
        <v>503</v>
      </c>
      <c r="F101" s="116">
        <v>25</v>
      </c>
      <c r="G101" s="117" t="s">
        <v>504</v>
      </c>
    </row>
    <row r="102" spans="1:7" s="81" customFormat="1" ht="15.75">
      <c r="A102" s="114">
        <v>26</v>
      </c>
      <c r="B102" s="115" t="s">
        <v>505</v>
      </c>
      <c r="C102" s="69"/>
      <c r="D102" s="69"/>
      <c r="E102" s="69"/>
      <c r="F102" s="116">
        <v>26</v>
      </c>
      <c r="G102" s="117" t="s">
        <v>506</v>
      </c>
    </row>
    <row r="103" spans="1:7">
      <c r="A103" s="114">
        <v>27</v>
      </c>
      <c r="B103" s="115" t="s">
        <v>507</v>
      </c>
      <c r="F103" s="116">
        <v>27</v>
      </c>
      <c r="G103" s="117" t="s">
        <v>508</v>
      </c>
    </row>
    <row r="104" spans="1:7">
      <c r="A104" s="114">
        <v>28</v>
      </c>
      <c r="B104" s="115" t="s">
        <v>509</v>
      </c>
      <c r="F104" s="116">
        <v>28</v>
      </c>
      <c r="G104" s="117" t="s">
        <v>510</v>
      </c>
    </row>
    <row r="105" spans="1:7">
      <c r="A105" s="114">
        <v>29</v>
      </c>
      <c r="B105" s="115" t="s">
        <v>511</v>
      </c>
      <c r="F105" s="116">
        <v>29</v>
      </c>
      <c r="G105" s="117" t="s">
        <v>512</v>
      </c>
    </row>
    <row r="106" spans="1:7">
      <c r="A106" s="114">
        <v>30</v>
      </c>
      <c r="B106" s="115" t="s">
        <v>513</v>
      </c>
      <c r="F106" s="116">
        <v>30</v>
      </c>
      <c r="G106" s="117" t="s">
        <v>514</v>
      </c>
    </row>
    <row r="107" spans="1:7">
      <c r="A107" s="114">
        <v>31</v>
      </c>
      <c r="B107" s="115" t="s">
        <v>515</v>
      </c>
      <c r="F107" s="116">
        <v>31</v>
      </c>
      <c r="G107" s="117" t="s">
        <v>516</v>
      </c>
    </row>
    <row r="108" spans="1:7">
      <c r="A108" s="114">
        <v>32</v>
      </c>
      <c r="B108" s="115" t="s">
        <v>517</v>
      </c>
      <c r="F108" s="116">
        <v>32</v>
      </c>
      <c r="G108" s="117" t="s">
        <v>518</v>
      </c>
    </row>
    <row r="109" spans="1:7">
      <c r="A109" s="114">
        <v>33</v>
      </c>
      <c r="B109" s="115" t="s">
        <v>519</v>
      </c>
      <c r="F109" s="116">
        <v>33</v>
      </c>
      <c r="G109" s="117" t="s">
        <v>520</v>
      </c>
    </row>
    <row r="110" spans="1:7">
      <c r="A110" s="114">
        <v>34</v>
      </c>
      <c r="B110" s="115" t="s">
        <v>521</v>
      </c>
      <c r="F110" s="116">
        <v>34</v>
      </c>
      <c r="G110" s="117" t="s">
        <v>522</v>
      </c>
    </row>
    <row r="111" spans="1:7">
      <c r="A111" s="114">
        <v>35</v>
      </c>
      <c r="B111" s="115" t="s">
        <v>523</v>
      </c>
      <c r="F111" s="116">
        <v>35</v>
      </c>
      <c r="G111" s="117" t="s">
        <v>524</v>
      </c>
    </row>
    <row r="112" spans="1:7">
      <c r="A112" s="114">
        <v>36</v>
      </c>
      <c r="B112" s="115" t="s">
        <v>525</v>
      </c>
      <c r="F112" s="116">
        <v>36</v>
      </c>
      <c r="G112" s="117" t="s">
        <v>526</v>
      </c>
    </row>
    <row r="113" spans="1:7">
      <c r="A113" s="114">
        <v>37</v>
      </c>
      <c r="B113" s="115" t="s">
        <v>527</v>
      </c>
      <c r="F113" s="116">
        <v>37</v>
      </c>
      <c r="G113" s="117" t="s">
        <v>528</v>
      </c>
    </row>
    <row r="114" spans="1:7">
      <c r="A114" s="114">
        <v>38</v>
      </c>
      <c r="B114" s="115" t="s">
        <v>529</v>
      </c>
      <c r="F114" s="116">
        <v>38</v>
      </c>
      <c r="G114" s="117" t="s">
        <v>530</v>
      </c>
    </row>
    <row r="115" spans="1:7">
      <c r="A115" s="118">
        <v>39</v>
      </c>
      <c r="B115" s="119" t="s">
        <v>531</v>
      </c>
      <c r="F115" s="116">
        <v>39</v>
      </c>
      <c r="G115" s="117" t="s">
        <v>532</v>
      </c>
    </row>
    <row r="116" spans="1:7">
      <c r="A116" s="120"/>
      <c r="B116" s="69"/>
      <c r="F116" s="116">
        <v>40</v>
      </c>
      <c r="G116" s="117" t="s">
        <v>533</v>
      </c>
    </row>
    <row r="117" spans="1:7" ht="18.75">
      <c r="A117" s="121" t="s">
        <v>534</v>
      </c>
      <c r="B117" s="70"/>
      <c r="C117" s="75"/>
      <c r="D117" s="75"/>
      <c r="E117" s="75"/>
      <c r="F117" s="116">
        <v>41</v>
      </c>
      <c r="G117" s="117" t="s">
        <v>535</v>
      </c>
    </row>
    <row r="118" spans="1:7" ht="15.75">
      <c r="A118" s="76" t="s">
        <v>336</v>
      </c>
      <c r="B118" s="77" t="s">
        <v>337</v>
      </c>
      <c r="C118" s="78"/>
      <c r="D118" s="78"/>
      <c r="E118" s="78"/>
      <c r="F118" s="116">
        <v>42</v>
      </c>
      <c r="G118" s="117" t="s">
        <v>536</v>
      </c>
    </row>
    <row r="119" spans="1:7">
      <c r="A119" s="98">
        <v>1</v>
      </c>
      <c r="B119" s="99" t="s">
        <v>537</v>
      </c>
      <c r="F119" s="116">
        <v>43</v>
      </c>
      <c r="G119" s="117" t="s">
        <v>538</v>
      </c>
    </row>
    <row r="120" spans="1:7">
      <c r="A120" s="100">
        <v>2</v>
      </c>
      <c r="B120" s="101" t="s">
        <v>539</v>
      </c>
      <c r="F120" s="116">
        <v>44</v>
      </c>
      <c r="G120" s="117" t="s">
        <v>540</v>
      </c>
    </row>
    <row r="121" spans="1:7">
      <c r="A121" s="100">
        <v>3</v>
      </c>
      <c r="B121" s="101" t="s">
        <v>541</v>
      </c>
      <c r="F121" s="116">
        <v>45</v>
      </c>
      <c r="G121" s="117" t="s">
        <v>542</v>
      </c>
    </row>
    <row r="122" spans="1:7">
      <c r="A122" s="100">
        <v>4</v>
      </c>
      <c r="B122" s="101" t="s">
        <v>543</v>
      </c>
      <c r="F122" s="116">
        <v>46</v>
      </c>
      <c r="G122" s="117" t="s">
        <v>544</v>
      </c>
    </row>
    <row r="123" spans="1:7">
      <c r="A123" s="100">
        <v>5</v>
      </c>
      <c r="B123" s="101" t="s">
        <v>545</v>
      </c>
      <c r="F123" s="116">
        <v>47</v>
      </c>
      <c r="G123" s="117" t="s">
        <v>546</v>
      </c>
    </row>
    <row r="124" spans="1:7">
      <c r="A124" s="100">
        <v>6</v>
      </c>
      <c r="B124" s="101" t="s">
        <v>547</v>
      </c>
      <c r="F124" s="116">
        <v>48</v>
      </c>
      <c r="G124" s="122" t="s">
        <v>548</v>
      </c>
    </row>
    <row r="125" spans="1:7">
      <c r="A125" s="100">
        <v>7</v>
      </c>
      <c r="B125" s="101" t="s">
        <v>549</v>
      </c>
      <c r="F125" s="116">
        <v>49</v>
      </c>
      <c r="G125" s="117" t="s">
        <v>550</v>
      </c>
    </row>
    <row r="126" spans="1:7">
      <c r="A126" s="104">
        <v>8</v>
      </c>
      <c r="B126" s="105" t="s">
        <v>551</v>
      </c>
      <c r="F126" s="116">
        <v>50</v>
      </c>
      <c r="G126" s="123" t="s">
        <v>552</v>
      </c>
    </row>
    <row r="127" spans="1:7">
      <c r="B127" s="67"/>
      <c r="C127" s="124"/>
      <c r="D127" s="124"/>
      <c r="E127" s="124"/>
      <c r="F127" s="70"/>
      <c r="G127" s="70"/>
    </row>
    <row r="128" spans="1:7" ht="15.75">
      <c r="A128" s="125" t="s">
        <v>553</v>
      </c>
      <c r="B128" s="70"/>
      <c r="C128" s="75"/>
      <c r="D128" s="75"/>
      <c r="E128" s="75"/>
      <c r="F128" s="95" t="s">
        <v>149</v>
      </c>
      <c r="G128" s="70"/>
    </row>
    <row r="129" spans="1:7" ht="15.75">
      <c r="A129" s="126" t="s">
        <v>336</v>
      </c>
      <c r="B129" s="97" t="s">
        <v>337</v>
      </c>
      <c r="C129" s="78"/>
      <c r="D129" s="78"/>
      <c r="E129" s="78"/>
      <c r="F129" s="126" t="s">
        <v>336</v>
      </c>
      <c r="G129" s="127" t="s">
        <v>337</v>
      </c>
    </row>
    <row r="130" spans="1:7">
      <c r="A130" s="112">
        <v>1</v>
      </c>
      <c r="B130" s="113" t="s">
        <v>554</v>
      </c>
      <c r="F130" s="128">
        <v>1</v>
      </c>
      <c r="G130" s="129" t="s">
        <v>555</v>
      </c>
    </row>
    <row r="131" spans="1:7">
      <c r="A131" s="116">
        <v>2</v>
      </c>
      <c r="B131" s="117" t="s">
        <v>556</v>
      </c>
      <c r="F131" s="130">
        <v>2</v>
      </c>
      <c r="G131" s="131" t="s">
        <v>557</v>
      </c>
    </row>
    <row r="132" spans="1:7">
      <c r="A132" s="116">
        <v>3</v>
      </c>
      <c r="B132" s="117" t="s">
        <v>558</v>
      </c>
      <c r="F132" s="130">
        <v>3</v>
      </c>
      <c r="G132" s="131" t="s">
        <v>559</v>
      </c>
    </row>
    <row r="133" spans="1:7">
      <c r="A133" s="116">
        <v>4</v>
      </c>
      <c r="B133" s="117" t="s">
        <v>560</v>
      </c>
      <c r="F133" s="130">
        <v>4</v>
      </c>
      <c r="G133" s="131" t="s">
        <v>561</v>
      </c>
    </row>
    <row r="134" spans="1:7">
      <c r="A134" s="116">
        <v>5</v>
      </c>
      <c r="B134" s="117" t="s">
        <v>562</v>
      </c>
      <c r="F134" s="130">
        <v>5</v>
      </c>
      <c r="G134" s="131" t="s">
        <v>563</v>
      </c>
    </row>
    <row r="135" spans="1:7">
      <c r="A135" s="116">
        <v>6</v>
      </c>
      <c r="B135" s="117" t="s">
        <v>564</v>
      </c>
      <c r="F135" s="130">
        <v>6</v>
      </c>
      <c r="G135" s="131" t="s">
        <v>149</v>
      </c>
    </row>
    <row r="136" spans="1:7">
      <c r="A136" s="116">
        <v>7</v>
      </c>
      <c r="B136" s="117" t="s">
        <v>565</v>
      </c>
      <c r="F136" s="130">
        <v>7</v>
      </c>
      <c r="G136" s="131" t="s">
        <v>566</v>
      </c>
    </row>
    <row r="137" spans="1:7">
      <c r="A137" s="116">
        <v>8</v>
      </c>
      <c r="B137" s="117" t="s">
        <v>567</v>
      </c>
      <c r="F137" s="130">
        <v>8</v>
      </c>
      <c r="G137" s="131" t="s">
        <v>568</v>
      </c>
    </row>
    <row r="138" spans="1:7">
      <c r="A138" s="116">
        <v>9</v>
      </c>
      <c r="B138" s="117" t="s">
        <v>569</v>
      </c>
      <c r="F138" s="132">
        <v>9</v>
      </c>
      <c r="G138" s="133" t="s">
        <v>570</v>
      </c>
    </row>
    <row r="139" spans="1:7">
      <c r="A139" s="116">
        <v>10</v>
      </c>
      <c r="B139" s="117" t="s">
        <v>571</v>
      </c>
      <c r="G139" s="68"/>
    </row>
    <row r="140" spans="1:7" ht="15.75">
      <c r="A140" s="116">
        <v>11</v>
      </c>
      <c r="B140" s="117" t="s">
        <v>572</v>
      </c>
      <c r="F140" s="125" t="s">
        <v>150</v>
      </c>
      <c r="G140" s="70"/>
    </row>
    <row r="141" spans="1:7" ht="15.75">
      <c r="A141" s="116">
        <v>12</v>
      </c>
      <c r="B141" s="117" t="s">
        <v>573</v>
      </c>
      <c r="F141" s="126" t="s">
        <v>574</v>
      </c>
      <c r="G141" s="127" t="s">
        <v>337</v>
      </c>
    </row>
    <row r="142" spans="1:7" s="81" customFormat="1" ht="15.75">
      <c r="A142" s="116">
        <v>13</v>
      </c>
      <c r="B142" s="117" t="s">
        <v>575</v>
      </c>
      <c r="C142" s="69"/>
      <c r="D142" s="69"/>
      <c r="E142" s="69"/>
      <c r="F142" s="134">
        <v>1</v>
      </c>
      <c r="G142" s="135" t="s">
        <v>576</v>
      </c>
    </row>
    <row r="143" spans="1:7">
      <c r="A143" s="136">
        <v>14</v>
      </c>
      <c r="B143" s="123" t="s">
        <v>577</v>
      </c>
      <c r="F143" s="116">
        <v>2</v>
      </c>
      <c r="G143" s="117" t="s">
        <v>578</v>
      </c>
    </row>
    <row r="144" spans="1:7">
      <c r="F144" s="136">
        <v>3</v>
      </c>
      <c r="G144" s="123" t="s">
        <v>579</v>
      </c>
    </row>
    <row r="154" spans="1:7" s="81" customFormat="1" ht="15.75">
      <c r="A154" s="103"/>
      <c r="B154" s="103"/>
      <c r="C154" s="137"/>
      <c r="D154" s="137"/>
      <c r="E154" s="137"/>
      <c r="F154" s="103"/>
      <c r="G154" s="103"/>
    </row>
    <row r="175" spans="2:5">
      <c r="B175" s="67"/>
      <c r="C175" s="124"/>
      <c r="D175" s="124"/>
      <c r="E175" s="124"/>
    </row>
    <row r="256" spans="2:5">
      <c r="B256" s="67"/>
      <c r="C256" s="124"/>
      <c r="D256" s="124"/>
      <c r="E256" s="124"/>
    </row>
    <row r="270" spans="1:7" s="81" customFormat="1" ht="15.75">
      <c r="A270" s="103"/>
      <c r="B270" s="103"/>
      <c r="C270" s="137"/>
      <c r="D270" s="137"/>
      <c r="E270" s="137"/>
      <c r="F270" s="103"/>
      <c r="G270" s="103"/>
    </row>
  </sheetData>
  <mergeCells count="2">
    <mergeCell ref="A4:B4"/>
    <mergeCell ref="F4:G4"/>
  </mergeCells>
  <pageMargins left="0.7" right="0.5" top="0.75" bottom="0.75" header="0.3" footer="0.3"/>
  <pageSetup paperSize="9" scale="76" orientation="portrait" r:id="rId1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Z74"/>
  <sheetViews>
    <sheetView view="pageBreakPreview" topLeftCell="A26" zoomScaleSheetLayoutView="100" workbookViewId="0">
      <selection activeCell="B53" sqref="B53"/>
    </sheetView>
  </sheetViews>
  <sheetFormatPr defaultRowHeight="15.75"/>
  <cols>
    <col min="1" max="1" width="48.85546875" style="284" customWidth="1"/>
    <col min="2" max="4" width="13.7109375" style="284" customWidth="1"/>
    <col min="5" max="7" width="9.140625" style="302"/>
    <col min="8" max="8" width="16.42578125" style="302" customWidth="1"/>
    <col min="9" max="78" width="9.140625" style="302"/>
    <col min="79" max="16384" width="9.140625" style="284"/>
  </cols>
  <sheetData>
    <row r="1" spans="1:78">
      <c r="D1" s="963"/>
    </row>
    <row r="2" spans="1:78" ht="23.25">
      <c r="A2" s="1255" t="s">
        <v>917</v>
      </c>
      <c r="B2" s="1255"/>
      <c r="C2" s="1255"/>
      <c r="D2" s="1255"/>
    </row>
    <row r="3" spans="1:78" ht="11.25" customHeight="1"/>
    <row r="4" spans="1:78" ht="12.75" customHeight="1"/>
    <row r="5" spans="1:78">
      <c r="A5" s="1257"/>
      <c r="B5" s="1257"/>
      <c r="C5" s="1257"/>
      <c r="D5" s="1257"/>
    </row>
    <row r="6" spans="1:78" ht="12" customHeight="1">
      <c r="A6" s="257"/>
      <c r="B6" s="466"/>
      <c r="C6" s="466"/>
      <c r="D6" s="466"/>
    </row>
    <row r="7" spans="1:78" ht="28.5" customHeight="1">
      <c r="A7" s="313" t="s">
        <v>916</v>
      </c>
      <c r="B7" s="314" t="s">
        <v>1078</v>
      </c>
      <c r="C7" s="314" t="s">
        <v>1089</v>
      </c>
      <c r="D7" s="314" t="s">
        <v>1090</v>
      </c>
      <c r="E7" s="478" t="s">
        <v>1069</v>
      </c>
    </row>
    <row r="8" spans="1:78" ht="15" customHeight="1">
      <c r="A8" s="1256"/>
      <c r="B8" s="1256"/>
      <c r="C8" s="1256"/>
      <c r="D8" s="1256"/>
    </row>
    <row r="9" spans="1:78" ht="18" customHeight="1">
      <c r="A9" s="297" t="s">
        <v>936</v>
      </c>
      <c r="B9" s="473">
        <f>B10+B11</f>
        <v>242944</v>
      </c>
      <c r="C9" s="473">
        <f t="shared" ref="C9:D9" si="0">C10+C11</f>
        <v>280043</v>
      </c>
      <c r="D9" s="473">
        <f t="shared" si="0"/>
        <v>239193</v>
      </c>
      <c r="E9" s="1259"/>
    </row>
    <row r="10" spans="1:78" ht="15.95" customHeight="1">
      <c r="A10" s="310" t="s">
        <v>984</v>
      </c>
      <c r="B10" s="472">
        <f>ROUND('101'!C55*1000000/'102(a)'!$B$29,0)</f>
        <v>128642</v>
      </c>
      <c r="C10" s="472">
        <f>ROUND('101'!G55*1000000/'102(a)'!$C$29,0)</f>
        <v>145781</v>
      </c>
      <c r="D10" s="472">
        <f>ROUND('101'!I55*1000000/'102(a)'!$D$29,0)</f>
        <v>125444</v>
      </c>
      <c r="E10" s="1259"/>
    </row>
    <row r="11" spans="1:78" ht="15.95" customHeight="1">
      <c r="A11" s="310" t="s">
        <v>985</v>
      </c>
      <c r="B11" s="472">
        <f>ROUND('101'!C56*1000000/'102(a)'!$B$29,0)</f>
        <v>114302</v>
      </c>
      <c r="C11" s="472">
        <f>ROUND('101'!G56*1000000/'102(a)'!$C$29,0)</f>
        <v>134262</v>
      </c>
      <c r="D11" s="472">
        <f>ROUND('101'!I56*1000000/'102(a)'!$D$29,0)</f>
        <v>113749</v>
      </c>
      <c r="E11" s="1259"/>
    </row>
    <row r="12" spans="1:78" ht="12" customHeight="1">
      <c r="A12" s="285"/>
      <c r="B12" s="285"/>
      <c r="C12" s="285"/>
      <c r="D12" s="285"/>
    </row>
    <row r="13" spans="1:78" ht="18" customHeight="1">
      <c r="A13" s="345" t="s">
        <v>937</v>
      </c>
      <c r="B13" s="475">
        <f>ROUND((('101'!C14+'101'!C16)*1000000)/B29,0)</f>
        <v>108592</v>
      </c>
      <c r="C13" s="475">
        <f>ROUND(('101'!G14+'101'!G16)*1000000/'102(a)'!C29,0)</f>
        <v>93809</v>
      </c>
      <c r="D13" s="475">
        <f>ROUND(('101'!I14+'101'!I16)*1000000/'102(a)'!D29,0)</f>
        <v>88066</v>
      </c>
      <c r="E13" s="479"/>
    </row>
    <row r="14" spans="1:78" s="311" customFormat="1" ht="6.95" customHeight="1">
      <c r="B14" s="394"/>
      <c r="C14" s="394"/>
      <c r="D14" s="394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</row>
    <row r="15" spans="1:78" ht="18" customHeight="1">
      <c r="A15" s="346" t="s">
        <v>942</v>
      </c>
      <c r="B15" s="474">
        <f>('101'!C39*1000000)/'102(a)'!B29</f>
        <v>133842.06237499075</v>
      </c>
      <c r="C15" s="474">
        <f>ROUND(('101'!G39*1000000)/'102(a)'!C29,0)</f>
        <v>141957</v>
      </c>
      <c r="D15" s="474">
        <f>ROUND(('101'!I39*1000000)/'102(a)'!D29,0)</f>
        <v>118144</v>
      </c>
      <c r="E15" s="479"/>
    </row>
    <row r="16" spans="1:78" s="311" customFormat="1" ht="6.95" customHeight="1">
      <c r="B16" s="395"/>
      <c r="C16" s="395"/>
      <c r="D16" s="395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</row>
    <row r="17" spans="1:78" ht="18" customHeight="1">
      <c r="A17" s="347" t="s">
        <v>938</v>
      </c>
      <c r="B17" s="475">
        <f>ROUND(('101'!C26*1000000)/'102(a)'!B29,0)</f>
        <v>99492</v>
      </c>
      <c r="C17" s="475">
        <f>ROUND(('101'!G26*1000000)/'102(a)'!D29,0)</f>
        <v>74283</v>
      </c>
      <c r="D17" s="475">
        <f>ROUND(('101'!I26*1000000)/'102(a)'!D29,0)</f>
        <v>82777</v>
      </c>
      <c r="E17" s="479"/>
    </row>
    <row r="18" spans="1:78" ht="15" customHeight="1"/>
    <row r="19" spans="1:78" ht="18" customHeight="1">
      <c r="A19" s="298" t="s">
        <v>983</v>
      </c>
      <c r="B19" s="476">
        <f>ROUND(('101'!C17*1000000)/B29,0)</f>
        <v>0</v>
      </c>
      <c r="C19" s="476">
        <f>ROUND(('101'!G17*1000000)/'102(a)'!C29,0)</f>
        <v>7186</v>
      </c>
      <c r="D19" s="476">
        <f>ROUND(('101'!I17*1000000)/'102(a)'!D29,0)</f>
        <v>0</v>
      </c>
      <c r="E19" s="479"/>
    </row>
    <row r="20" spans="1:78" ht="15" customHeight="1"/>
    <row r="21" spans="1:78" ht="18" customHeight="1">
      <c r="A21" s="299" t="s">
        <v>918</v>
      </c>
      <c r="B21" s="350">
        <f>B22+B23</f>
        <v>572</v>
      </c>
      <c r="C21" s="350">
        <f t="shared" ref="C21:D21" si="1">C22+C23</f>
        <v>548</v>
      </c>
      <c r="D21" s="350">
        <f t="shared" si="1"/>
        <v>548</v>
      </c>
      <c r="E21" s="1260"/>
      <c r="G21" s="302" t="s">
        <v>1387</v>
      </c>
    </row>
    <row r="22" spans="1:78" ht="15" customHeight="1">
      <c r="A22" s="306" t="s">
        <v>932</v>
      </c>
      <c r="B22" s="351">
        <v>259</v>
      </c>
      <c r="C22" s="351">
        <v>288</v>
      </c>
      <c r="D22" s="351">
        <f>+C22</f>
        <v>288</v>
      </c>
      <c r="E22" s="1260"/>
    </row>
    <row r="23" spans="1:78" ht="15" customHeight="1">
      <c r="A23" s="306" t="s">
        <v>931</v>
      </c>
      <c r="B23" s="351">
        <v>313</v>
      </c>
      <c r="C23" s="351">
        <v>260</v>
      </c>
      <c r="D23" s="351">
        <f>+C23</f>
        <v>260</v>
      </c>
      <c r="E23" s="1260"/>
    </row>
    <row r="24" spans="1:78" ht="18" customHeight="1">
      <c r="A24" s="300" t="s">
        <v>919</v>
      </c>
      <c r="B24" s="350">
        <f>B25+B26+B27</f>
        <v>2170</v>
      </c>
      <c r="C24" s="350">
        <f t="shared" ref="C24:D24" si="2">C25+C26+C27</f>
        <v>2170</v>
      </c>
      <c r="D24" s="350">
        <f t="shared" si="2"/>
        <v>2170</v>
      </c>
      <c r="E24" s="1260"/>
    </row>
    <row r="25" spans="1:78" ht="15" customHeight="1">
      <c r="A25" s="306" t="s">
        <v>933</v>
      </c>
      <c r="B25" s="351">
        <v>178</v>
      </c>
      <c r="C25" s="351">
        <v>218</v>
      </c>
      <c r="D25" s="351">
        <v>218</v>
      </c>
      <c r="E25" s="1260"/>
    </row>
    <row r="26" spans="1:78" ht="15" customHeight="1">
      <c r="A26" s="306" t="s">
        <v>935</v>
      </c>
      <c r="B26" s="351">
        <v>1105</v>
      </c>
      <c r="C26" s="351">
        <v>1054</v>
      </c>
      <c r="D26" s="351">
        <v>1054</v>
      </c>
      <c r="E26" s="1260"/>
    </row>
    <row r="27" spans="1:78" ht="15" customHeight="1">
      <c r="A27" s="306" t="s">
        <v>934</v>
      </c>
      <c r="B27" s="351">
        <v>887</v>
      </c>
      <c r="C27" s="351">
        <v>898</v>
      </c>
      <c r="D27" s="351">
        <v>898</v>
      </c>
      <c r="E27" s="1260"/>
    </row>
    <row r="28" spans="1:78" s="285" customFormat="1" ht="15" customHeight="1">
      <c r="A28" s="286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</row>
    <row r="29" spans="1:78" ht="20.100000000000001" customHeight="1">
      <c r="A29" s="295" t="s">
        <v>920</v>
      </c>
      <c r="B29" s="352">
        <f>B30+B31+B32+B33</f>
        <v>13499</v>
      </c>
      <c r="C29" s="352">
        <f t="shared" ref="C29:D29" si="3">C30+C31+C32+C33</f>
        <v>13916</v>
      </c>
      <c r="D29" s="977">
        <f t="shared" si="3"/>
        <v>17143</v>
      </c>
      <c r="E29" s="1260"/>
      <c r="I29" s="302">
        <f>+C29-B29</f>
        <v>417</v>
      </c>
    </row>
    <row r="30" spans="1:78" ht="15" customHeight="1">
      <c r="A30" s="305" t="s">
        <v>939</v>
      </c>
      <c r="B30" s="980">
        <v>10846</v>
      </c>
      <c r="C30" s="978">
        <v>11896</v>
      </c>
      <c r="D30" s="791">
        <v>15031</v>
      </c>
      <c r="E30" s="1260"/>
    </row>
    <row r="31" spans="1:78" ht="15" customHeight="1">
      <c r="A31" s="305" t="s">
        <v>940</v>
      </c>
      <c r="B31" s="980">
        <v>1699</v>
      </c>
      <c r="C31" s="979">
        <v>1362</v>
      </c>
      <c r="D31" s="791">
        <v>1430</v>
      </c>
      <c r="E31" s="1260"/>
    </row>
    <row r="32" spans="1:78" ht="15" customHeight="1">
      <c r="A32" s="305" t="s">
        <v>941</v>
      </c>
      <c r="B32" s="980">
        <v>877</v>
      </c>
      <c r="C32" s="979">
        <v>482</v>
      </c>
      <c r="D32" s="791">
        <v>506</v>
      </c>
      <c r="E32" s="1260"/>
    </row>
    <row r="33" spans="1:78" ht="15" customHeight="1">
      <c r="A33" s="305" t="s">
        <v>958</v>
      </c>
      <c r="B33" s="979">
        <v>77</v>
      </c>
      <c r="C33" s="979">
        <v>176</v>
      </c>
      <c r="D33" s="792">
        <v>176</v>
      </c>
      <c r="E33" s="1260"/>
    </row>
    <row r="34" spans="1:78" s="285" customFormat="1" ht="9.75" customHeight="1">
      <c r="A34" s="318"/>
      <c r="B34" s="311"/>
      <c r="C34" s="311"/>
      <c r="D34" s="311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</row>
    <row r="35" spans="1:78" ht="20.100000000000001" customHeight="1">
      <c r="A35" s="296" t="s">
        <v>921</v>
      </c>
      <c r="B35" s="348"/>
      <c r="C35" s="348"/>
      <c r="D35" s="348"/>
      <c r="E35" s="480"/>
    </row>
    <row r="36" spans="1:78" s="285" customFormat="1" ht="9.75" customHeight="1">
      <c r="A36" s="286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</row>
    <row r="37" spans="1:78" ht="20.100000000000001" customHeight="1">
      <c r="A37" s="287" t="s">
        <v>922</v>
      </c>
      <c r="B37" s="288"/>
      <c r="C37" s="288"/>
      <c r="D37" s="288"/>
    </row>
    <row r="38" spans="1:78" ht="15" customHeight="1">
      <c r="A38" s="304" t="s">
        <v>924</v>
      </c>
      <c r="B38" s="353" t="str">
        <f>CONCATENATE("1", " ", ":", " ", ROUND(B24/B21,1))</f>
        <v>1 : 3.8</v>
      </c>
      <c r="C38" s="353" t="str">
        <f t="shared" ref="C38:D38" si="4">CONCATENATE("1", " ", ":", " ", ROUND(C24/C21,1))</f>
        <v>1 : 4</v>
      </c>
      <c r="D38" s="353" t="str">
        <f t="shared" si="4"/>
        <v>1 : 4</v>
      </c>
      <c r="E38" s="480"/>
    </row>
    <row r="39" spans="1:78" ht="15" customHeight="1">
      <c r="A39" s="304" t="s">
        <v>925</v>
      </c>
      <c r="B39" s="353" t="str">
        <f>CONCATENATE("1", " ", ":", " ", ROUND(B29/B21,0))</f>
        <v>1 : 24</v>
      </c>
      <c r="C39" s="353" t="str">
        <f>CONCATENATE("1", " ", ":", " ", ROUND(C29/C21,0))</f>
        <v>1 : 25</v>
      </c>
      <c r="D39" s="353" t="str">
        <f>CONCATENATE("1", " ", ":", " ", ROUND(D29/D21,0))</f>
        <v>1 : 31</v>
      </c>
      <c r="E39" s="480"/>
    </row>
    <row r="40" spans="1:78" ht="15" customHeight="1">
      <c r="A40" s="304" t="s">
        <v>926</v>
      </c>
      <c r="B40" s="477">
        <f>'101'!C39/'101'!C41</f>
        <v>0.539494126650783</v>
      </c>
      <c r="C40" s="477">
        <f>'101'!G39/'101'!G41</f>
        <v>0.55297660493153489</v>
      </c>
      <c r="D40" s="477">
        <f>'101'!I39/'101'!I41</f>
        <v>0.68458554276437644</v>
      </c>
      <c r="E40" s="480"/>
    </row>
    <row r="41" spans="1:78" ht="15" customHeight="1">
      <c r="A41" s="304" t="s">
        <v>927</v>
      </c>
      <c r="B41" s="477">
        <f>'101'!C39/'101'!C57</f>
        <v>0.55091953378088288</v>
      </c>
      <c r="C41" s="477">
        <f>'101'!G39/'101'!G57</f>
        <v>0.50691274398040254</v>
      </c>
      <c r="D41" s="477">
        <f>'101'!I39/'101'!I57</f>
        <v>0.49392854440336631</v>
      </c>
      <c r="E41" s="480"/>
    </row>
    <row r="42" spans="1:78" ht="15" customHeight="1">
      <c r="A42" s="304" t="s">
        <v>928</v>
      </c>
      <c r="B42" s="477">
        <f>('101'!C14+'101'!C15+'101'!C16)/'101'!C57</f>
        <v>0.45460754849537488</v>
      </c>
      <c r="C42" s="477">
        <f>('101'!G14+'101'!G16)/'101'!G57</f>
        <v>0.33498098962922668</v>
      </c>
      <c r="D42" s="477">
        <f>('101'!I14+'101'!I16)/'101'!I57</f>
        <v>0.36818090382717583</v>
      </c>
      <c r="E42" s="480"/>
    </row>
    <row r="43" spans="1:78" ht="15" customHeight="1">
      <c r="A43" s="304" t="s">
        <v>1009</v>
      </c>
      <c r="B43" s="477">
        <f>B17/B9</f>
        <v>0.40952647523709168</v>
      </c>
      <c r="C43" s="477">
        <f t="shared" ref="C43:D43" si="5">C17/C9</f>
        <v>0.26525569287573691</v>
      </c>
      <c r="D43" s="477">
        <f t="shared" si="5"/>
        <v>0.34606781971044304</v>
      </c>
      <c r="E43" s="480"/>
    </row>
    <row r="44" spans="1:78" ht="15" customHeight="1">
      <c r="A44" s="304" t="s">
        <v>929</v>
      </c>
      <c r="B44" s="477">
        <f>'101'!C55/'101'!C57</f>
        <v>0.52951314351508527</v>
      </c>
      <c r="C44" s="477">
        <f>'101'!G55/'101'!G57</f>
        <v>0.52056711655307741</v>
      </c>
      <c r="D44" s="477">
        <f>'101'!I55/'101'!I57</f>
        <v>0.52444531291847751</v>
      </c>
      <c r="E44" s="480"/>
    </row>
    <row r="45" spans="1:78" ht="15" customHeight="1">
      <c r="A45" s="304" t="s">
        <v>1480</v>
      </c>
      <c r="B45" s="477">
        <v>0.26</v>
      </c>
      <c r="C45" s="477">
        <v>0.24</v>
      </c>
      <c r="D45" s="477">
        <v>0.24</v>
      </c>
      <c r="E45" s="480"/>
    </row>
    <row r="46" spans="1:78" ht="15" customHeight="1">
      <c r="A46" s="304" t="s">
        <v>1481</v>
      </c>
      <c r="B46" s="477">
        <f>'101'!C56/'101'!C57</f>
        <v>0.47048685648491473</v>
      </c>
      <c r="C46" s="477">
        <f>'101'!G56/'101'!G57</f>
        <v>0.47943288344692253</v>
      </c>
      <c r="D46" s="477">
        <f>'101'!I56/'101'!I57</f>
        <v>0.47555468708152254</v>
      </c>
      <c r="E46" s="480"/>
    </row>
    <row r="47" spans="1:78" ht="9.75" customHeight="1">
      <c r="A47" s="289"/>
    </row>
    <row r="48" spans="1:78">
      <c r="A48" s="308" t="s">
        <v>923</v>
      </c>
      <c r="B48" s="303"/>
      <c r="C48" s="303"/>
      <c r="D48" s="303"/>
    </row>
    <row r="49" spans="1:8" ht="15" customHeight="1">
      <c r="A49" s="307" t="s">
        <v>930</v>
      </c>
      <c r="B49" s="563">
        <f>+'105'!C97</f>
        <v>906.43200000000002</v>
      </c>
      <c r="C49" s="563">
        <f>+'105'!G97</f>
        <v>1077.1037000000001</v>
      </c>
      <c r="D49" s="563">
        <f>+'105'!I97</f>
        <v>1074.7517</v>
      </c>
      <c r="E49" s="480"/>
    </row>
    <row r="50" spans="1:8" ht="15" customHeight="1">
      <c r="A50" s="307" t="s">
        <v>943</v>
      </c>
      <c r="B50" s="349">
        <v>16000</v>
      </c>
      <c r="C50" s="837">
        <v>16810.7</v>
      </c>
      <c r="D50" s="837">
        <f>+C50</f>
        <v>16810.7</v>
      </c>
      <c r="E50" s="480"/>
    </row>
    <row r="51" spans="1:8" ht="15" customHeight="1">
      <c r="A51" s="307" t="s">
        <v>944</v>
      </c>
      <c r="B51" s="349">
        <v>655.55840000000001</v>
      </c>
      <c r="C51" s="837">
        <f>+D51+'101'!G38</f>
        <v>904.269497</v>
      </c>
      <c r="D51" s="837">
        <v>416.26900000000001</v>
      </c>
      <c r="E51" s="480"/>
    </row>
    <row r="52" spans="1:8" ht="15" customHeight="1">
      <c r="A52" s="307" t="s">
        <v>945</v>
      </c>
      <c r="B52" s="349">
        <v>15344.441999999999</v>
      </c>
      <c r="C52" s="837">
        <f>+C50-C51</f>
        <v>15906.430503000001</v>
      </c>
      <c r="D52" s="837">
        <f>+D50-D51</f>
        <v>16394.431</v>
      </c>
      <c r="E52" s="480"/>
    </row>
    <row r="53" spans="1:8" ht="15" customHeight="1">
      <c r="A53" s="307" t="s">
        <v>946</v>
      </c>
      <c r="B53" s="563">
        <f>320651048/1000000</f>
        <v>320.651048</v>
      </c>
      <c r="C53" s="563">
        <f>+'104'!O13</f>
        <v>335.21228399999995</v>
      </c>
      <c r="D53" s="563">
        <f>+'104'!O14</f>
        <v>371.10514320000004</v>
      </c>
      <c r="E53" s="480"/>
    </row>
    <row r="54" spans="1:8" ht="15" customHeight="1">
      <c r="A54" s="301"/>
      <c r="B54" s="302"/>
      <c r="C54" s="302"/>
      <c r="D54" s="302"/>
      <c r="H54" s="838">
        <f>+C50*1000000</f>
        <v>16810700000</v>
      </c>
    </row>
    <row r="55" spans="1:8" ht="15" customHeight="1">
      <c r="A55" s="301"/>
      <c r="B55" s="302"/>
      <c r="C55" s="302"/>
      <c r="D55" s="302"/>
    </row>
    <row r="56" spans="1:8" ht="15" customHeight="1">
      <c r="A56" s="301"/>
      <c r="B56" s="302"/>
      <c r="C56" s="302"/>
      <c r="D56" s="302"/>
    </row>
    <row r="57" spans="1:8">
      <c r="A57" s="290"/>
      <c r="B57" s="302"/>
      <c r="C57" s="302"/>
      <c r="D57" s="302"/>
    </row>
    <row r="58" spans="1:8">
      <c r="A58" s="290"/>
      <c r="B58" s="1258"/>
      <c r="C58" s="1258"/>
      <c r="D58" s="1258"/>
    </row>
    <row r="59" spans="1:8">
      <c r="A59" s="290"/>
    </row>
    <row r="60" spans="1:8">
      <c r="A60" s="290"/>
    </row>
    <row r="61" spans="1:8">
      <c r="A61" s="289"/>
    </row>
    <row r="62" spans="1:8">
      <c r="A62" s="291"/>
    </row>
    <row r="63" spans="1:8">
      <c r="A63" s="290"/>
    </row>
    <row r="64" spans="1:8">
      <c r="A64" s="290"/>
    </row>
    <row r="65" spans="1:1">
      <c r="A65" s="290"/>
    </row>
    <row r="66" spans="1:1">
      <c r="A66" s="290"/>
    </row>
    <row r="68" spans="1:1">
      <c r="A68" s="292"/>
    </row>
    <row r="71" spans="1:1">
      <c r="A71" s="293"/>
    </row>
    <row r="72" spans="1:1">
      <c r="A72" s="293"/>
    </row>
    <row r="73" spans="1:1">
      <c r="A73" s="294"/>
    </row>
    <row r="74" spans="1:1">
      <c r="A74" s="290"/>
    </row>
  </sheetData>
  <sheetProtection formatCells="0" formatColumns="0" formatRows="0"/>
  <mergeCells count="8">
    <mergeCell ref="A2:D2"/>
    <mergeCell ref="A8:D8"/>
    <mergeCell ref="A5:D5"/>
    <mergeCell ref="B58:D58"/>
    <mergeCell ref="E9:E11"/>
    <mergeCell ref="E21:E23"/>
    <mergeCell ref="E24:E27"/>
    <mergeCell ref="E29:E33"/>
  </mergeCells>
  <dataValidations count="6">
    <dataValidation allowBlank="1" showInputMessage="1" showErrorMessage="1" promptTitle="Actual Enrollment" prompt="Please mention the Actual Enrollment for the last FY 2016-17 in this column. Both under Regular and Self-Finance streams." sqref="B30:B33"/>
    <dataValidation allowBlank="1" showInputMessage="1" showErrorMessage="1" prompt="Calculates automatically.  Don't insert value or delete the formulae" sqref="B10:D11"/>
    <dataValidation allowBlank="1" showInputMessage="1" showErrorMessage="1" promptTitle="Instruction" prompt="Calculated based on Annual Recurring Grant and Tenure Track Grant only.  Don't consider the additional supplementary grants" sqref="B13"/>
    <dataValidation allowBlank="1" showInputMessage="1" showErrorMessage="1" promptTitle="Instruction" prompt="Calculate based on the allocated Annual Recurring Grant and Tenure Track Grants only. Don't consider any supplementary / additional grants." sqref="C13:D13"/>
    <dataValidation allowBlank="1" showInputMessage="1" showErrorMessage="1" promptTitle="OI Per Student" prompt="Considering the figure of total actual own income from all resources for FY 2014-15, as reported to HEC" sqref="B15"/>
    <dataValidation allowBlank="1" showInputMessage="1" showErrorMessage="1" promptTitle="OI Per Student" prompt="Based on the Revised Estimates of Total Own Income for CFY 2015-16. Round-off to rupees." sqref="C15:D15"/>
  </dataValidations>
  <printOptions horizontalCentered="1"/>
  <pageMargins left="0.45" right="0.45" top="0.5" bottom="0.25" header="0.3" footer="0.55000000000000004"/>
  <pageSetup paperSize="9" scale="91" orientation="portrait" r:id="rId1"/>
  <headerFooter>
    <oddFooter>&amp;R&amp;"Garamond,Bold"&amp;12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'102(a)'!B48:D48</xm:f>
              <xm:sqref>E48</xm:sqref>
            </x14:sparkline>
            <x14:sparkline>
              <xm:f>'102(a)'!B49:D49</xm:f>
              <xm:sqref>E49</xm:sqref>
            </x14:sparkline>
            <x14:sparkline>
              <xm:f>'102(a)'!B50:D50</xm:f>
              <xm:sqref>E50</xm:sqref>
            </x14:sparkline>
            <x14:sparkline>
              <xm:f>'102(a)'!B51:D51</xm:f>
              <xm:sqref>E51</xm:sqref>
            </x14:sparkline>
            <x14:sparkline>
              <xm:f>'102(a)'!B52:D52</xm:f>
              <xm:sqref>E52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'102(a)'!B24:D24</xm:f>
              <xm:sqref>E24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'102(a)'!B21:D21</xm:f>
              <xm:sqref>E21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'102(a)'!B35:D35</xm:f>
              <xm:sqref>E35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'102(a)'!B45:D45</xm:f>
              <xm:sqref>E45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'102(a)'!B44:D44</xm:f>
              <xm:sqref>E44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'102(a)'!B43:D43</xm:f>
              <xm:sqref>E43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'102(a)'!B42:D42</xm:f>
              <xm:sqref>E42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'102(a)'!B41:D41</xm:f>
              <xm:sqref>E41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'102(a)'!B40:D40</xm:f>
              <xm:sqref>E40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'102(a)'!B29:D29</xm:f>
              <xm:sqref>E29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'102(a)'!B19:D19</xm:f>
              <xm:sqref>E19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'102(a)'!B17:D17</xm:f>
              <xm:sqref>E17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'102(a)'!B15:D15</xm:f>
              <xm:sqref>E15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'102(a)'!B13:D13</xm:f>
              <xm:sqref>E13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'102(a)'!B9:D9</xm:f>
              <xm:sqref>E9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Y91"/>
  <sheetViews>
    <sheetView view="pageBreakPreview" zoomScaleSheetLayoutView="100" workbookViewId="0">
      <pane xSplit="2" ySplit="8" topLeftCell="C81" activePane="bottomRight" state="frozen"/>
      <selection pane="topRight" activeCell="C1" sqref="C1"/>
      <selection pane="bottomLeft" activeCell="A9" sqref="A9"/>
      <selection pane="bottomRight" activeCell="G87" sqref="G87"/>
    </sheetView>
  </sheetViews>
  <sheetFormatPr defaultRowHeight="15"/>
  <cols>
    <col min="1" max="1" width="11.28515625" style="146" bestFit="1" customWidth="1"/>
    <col min="2" max="2" width="45.28515625" style="146" customWidth="1"/>
    <col min="3" max="3" width="14.7109375" style="146" customWidth="1"/>
    <col min="4" max="5" width="12.5703125" style="146" bestFit="1" customWidth="1"/>
    <col min="6" max="6" width="11.7109375" style="146" bestFit="1" customWidth="1"/>
    <col min="7" max="7" width="14.7109375" style="146" customWidth="1"/>
    <col min="8" max="9" width="14.7109375" style="146" hidden="1" customWidth="1"/>
    <col min="10" max="10" width="13.42578125" style="146" customWidth="1"/>
    <col min="11" max="11" width="10.28515625" style="146" customWidth="1"/>
    <col min="12" max="12" width="23.7109375" style="146" customWidth="1"/>
    <col min="13" max="13" width="14.140625" style="146" customWidth="1"/>
    <col min="14" max="14" width="13.7109375" style="146" bestFit="1" customWidth="1"/>
    <col min="15" max="15" width="6.85546875" style="146" customWidth="1"/>
    <col min="16" max="16384" width="9.140625" style="146"/>
  </cols>
  <sheetData>
    <row r="1" spans="1:25" s="138" customFormat="1" ht="20.25" customHeight="1">
      <c r="C1" s="139"/>
      <c r="D1" s="139"/>
      <c r="E1" s="139"/>
      <c r="F1" s="139"/>
      <c r="G1" s="139"/>
      <c r="H1" s="139"/>
      <c r="I1" s="963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5" s="138" customFormat="1" ht="34.5" customHeight="1">
      <c r="A2" s="1261" t="s">
        <v>1119</v>
      </c>
      <c r="B2" s="1262"/>
      <c r="C2" s="1262"/>
      <c r="D2" s="1262"/>
      <c r="E2" s="1262"/>
      <c r="F2" s="1262"/>
      <c r="G2" s="1262"/>
      <c r="H2" s="1262"/>
      <c r="I2" s="1262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5" s="138" customFormat="1" ht="34.5" customHeight="1">
      <c r="A3" s="398"/>
      <c r="B3" s="399"/>
      <c r="C3" s="399"/>
      <c r="D3" s="399"/>
      <c r="E3" s="883"/>
      <c r="F3" s="883"/>
      <c r="G3" s="399"/>
      <c r="H3" s="1045"/>
      <c r="I3" s="399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5" s="138" customFormat="1" ht="16.5" customHeight="1">
      <c r="A4" s="1270"/>
      <c r="B4" s="1270"/>
      <c r="C4" s="1270"/>
      <c r="D4" s="1270"/>
      <c r="E4" s="1270"/>
      <c r="F4" s="1270"/>
      <c r="G4" s="1270"/>
      <c r="H4" s="1270"/>
      <c r="I4" s="12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5" s="3" customFormat="1" ht="18" hidden="1" customHeight="1">
      <c r="A5" s="141"/>
      <c r="B5" s="142"/>
      <c r="C5" s="143"/>
      <c r="D5" s="143"/>
      <c r="E5" s="143"/>
      <c r="F5" s="143"/>
      <c r="G5" s="143"/>
      <c r="H5" s="143"/>
      <c r="I5" s="181" t="s">
        <v>955</v>
      </c>
      <c r="J5" s="2"/>
      <c r="K5" s="2"/>
      <c r="L5" s="2"/>
      <c r="M5" s="2"/>
      <c r="W5" s="144"/>
      <c r="X5" s="144"/>
    </row>
    <row r="6" spans="1:25" s="162" customFormat="1" ht="21" customHeight="1">
      <c r="A6" s="1263" t="s">
        <v>161</v>
      </c>
      <c r="B6" s="1263" t="s">
        <v>162</v>
      </c>
      <c r="C6" s="1264" t="s">
        <v>1512</v>
      </c>
      <c r="D6" s="1276" t="s">
        <v>1511</v>
      </c>
      <c r="E6" s="1277"/>
      <c r="F6" s="1277"/>
      <c r="G6" s="1277"/>
      <c r="H6" s="1278"/>
      <c r="I6" s="1265" t="s">
        <v>1091</v>
      </c>
      <c r="J6" s="1232" t="s">
        <v>1519</v>
      </c>
      <c r="K6" s="4"/>
      <c r="L6" s="4"/>
      <c r="M6" s="5"/>
      <c r="N6" s="161"/>
      <c r="O6" s="161"/>
      <c r="P6" s="161"/>
      <c r="W6" s="163"/>
    </row>
    <row r="7" spans="1:25" s="158" customFormat="1" ht="30">
      <c r="A7" s="1263"/>
      <c r="B7" s="1263"/>
      <c r="C7" s="1264"/>
      <c r="D7" s="1046" t="s">
        <v>818</v>
      </c>
      <c r="E7" s="886" t="s">
        <v>1514</v>
      </c>
      <c r="F7" s="886" t="s">
        <v>1518</v>
      </c>
      <c r="G7" s="1046" t="s">
        <v>819</v>
      </c>
      <c r="H7" s="1046" t="s">
        <v>1504</v>
      </c>
      <c r="I7" s="1266"/>
      <c r="J7" s="1232"/>
      <c r="M7" s="159"/>
      <c r="N7" s="159"/>
      <c r="O7" s="159"/>
      <c r="P7" s="159"/>
      <c r="W7" s="164"/>
      <c r="X7" s="165"/>
      <c r="Y7" s="160"/>
    </row>
    <row r="8" spans="1:25" s="3" customFormat="1" ht="7.5" customHeight="1">
      <c r="A8" s="1273"/>
      <c r="B8" s="1274"/>
      <c r="C8" s="1274"/>
      <c r="D8" s="1274"/>
      <c r="E8" s="1274"/>
      <c r="F8" s="1274"/>
      <c r="G8" s="1274"/>
      <c r="H8" s="1274"/>
      <c r="I8" s="1275"/>
      <c r="J8" s="5"/>
      <c r="K8" s="5"/>
      <c r="L8" s="5"/>
      <c r="M8" s="5"/>
      <c r="W8" s="144"/>
      <c r="X8" s="145"/>
    </row>
    <row r="9" spans="1:25" ht="21" customHeight="1">
      <c r="A9" s="991" t="s">
        <v>287</v>
      </c>
      <c r="B9" s="992" t="s">
        <v>1492</v>
      </c>
      <c r="C9" s="559">
        <v>1343.0480000000002</v>
      </c>
      <c r="D9" s="559">
        <v>1681.39474</v>
      </c>
      <c r="E9" s="559">
        <v>1265.4270000000001</v>
      </c>
      <c r="F9" s="559">
        <v>8</v>
      </c>
      <c r="G9" s="559">
        <v>1273.4270000000001</v>
      </c>
      <c r="H9" s="559">
        <v>1343.0480000000002</v>
      </c>
      <c r="I9" s="1088">
        <v>1419.0408399999999</v>
      </c>
      <c r="J9" s="1093">
        <v>1681.39474</v>
      </c>
      <c r="K9" s="547">
        <v>-95.703000000000202</v>
      </c>
      <c r="P9" s="547">
        <v>0</v>
      </c>
    </row>
    <row r="10" spans="1:25" ht="21.95" customHeight="1">
      <c r="A10" s="826" t="s">
        <v>289</v>
      </c>
      <c r="B10" s="826" t="s">
        <v>581</v>
      </c>
      <c r="C10" s="560">
        <v>296.178</v>
      </c>
      <c r="D10" s="1109">
        <v>373.34000000000003</v>
      </c>
      <c r="E10" s="560">
        <v>193.84899999999999</v>
      </c>
      <c r="F10" s="560"/>
      <c r="G10" s="560">
        <v>193.84899999999999</v>
      </c>
      <c r="H10" s="560">
        <v>296.178</v>
      </c>
      <c r="I10" s="1089">
        <v>213.23390000000001</v>
      </c>
      <c r="J10" s="1109">
        <v>373.34000000000003</v>
      </c>
      <c r="L10" s="828">
        <v>0</v>
      </c>
      <c r="N10" s="146">
        <v>997.11347499999999</v>
      </c>
      <c r="P10" s="547">
        <v>0</v>
      </c>
    </row>
    <row r="11" spans="1:25" ht="21.95" customHeight="1">
      <c r="A11" s="826" t="s">
        <v>582</v>
      </c>
      <c r="B11" s="826" t="s">
        <v>583</v>
      </c>
      <c r="C11" s="560">
        <v>235.08</v>
      </c>
      <c r="D11" s="1109">
        <v>398.67673999999994</v>
      </c>
      <c r="E11" s="560">
        <v>347.34100000000001</v>
      </c>
      <c r="F11" s="560"/>
      <c r="G11" s="560">
        <v>347.34100000000001</v>
      </c>
      <c r="H11" s="560">
        <v>235.08</v>
      </c>
      <c r="I11" s="1089">
        <v>398.67673999999994</v>
      </c>
      <c r="J11" s="1109">
        <v>398.67673999999994</v>
      </c>
      <c r="K11" s="547"/>
      <c r="L11" s="828">
        <v>0</v>
      </c>
      <c r="N11" s="146">
        <v>362.43340000000001</v>
      </c>
      <c r="P11" s="547">
        <v>0</v>
      </c>
    </row>
    <row r="12" spans="1:25" ht="21.95" hidden="1" customHeight="1">
      <c r="A12" s="1009" t="s">
        <v>584</v>
      </c>
      <c r="B12" s="1010" t="s">
        <v>585</v>
      </c>
      <c r="C12" s="1011"/>
      <c r="D12" s="1011"/>
      <c r="E12" s="1011"/>
      <c r="F12" s="1011"/>
      <c r="G12" s="1011"/>
      <c r="H12" s="1053"/>
      <c r="I12" s="1053">
        <v>0</v>
      </c>
      <c r="J12" s="1014"/>
      <c r="L12" s="828">
        <v>0</v>
      </c>
      <c r="N12" s="146">
        <v>634.68007499999999</v>
      </c>
      <c r="P12" s="547">
        <v>0</v>
      </c>
    </row>
    <row r="13" spans="1:25" ht="21" customHeight="1">
      <c r="A13" s="991" t="s">
        <v>287</v>
      </c>
      <c r="B13" s="992" t="s">
        <v>1483</v>
      </c>
      <c r="C13" s="559">
        <v>716.08800000000019</v>
      </c>
      <c r="D13" s="559">
        <v>802.22590000000002</v>
      </c>
      <c r="E13" s="559">
        <v>612.16499999999985</v>
      </c>
      <c r="F13" s="559">
        <v>8</v>
      </c>
      <c r="G13" s="559">
        <v>620.16499999999985</v>
      </c>
      <c r="H13" s="559">
        <v>716.08800000000019</v>
      </c>
      <c r="I13" s="1088">
        <v>683.851</v>
      </c>
      <c r="J13" s="1093">
        <v>802.22590000000002</v>
      </c>
      <c r="K13" s="828"/>
      <c r="L13" s="828">
        <v>-8</v>
      </c>
      <c r="P13" s="547">
        <v>0</v>
      </c>
    </row>
    <row r="14" spans="1:25" ht="21.95" customHeight="1">
      <c r="A14" s="826" t="s">
        <v>288</v>
      </c>
      <c r="B14" s="826" t="s">
        <v>580</v>
      </c>
      <c r="C14" s="560">
        <v>235.00800000000001</v>
      </c>
      <c r="D14" s="1109">
        <v>294.41500000000002</v>
      </c>
      <c r="E14" s="560">
        <v>223.96799999999999</v>
      </c>
      <c r="F14" s="560"/>
      <c r="G14" s="560">
        <v>223.96799999999999</v>
      </c>
      <c r="H14" s="560">
        <v>235.00800000000001</v>
      </c>
      <c r="I14" s="1089">
        <v>246.3648</v>
      </c>
      <c r="J14" s="1109">
        <v>294.41500000000002</v>
      </c>
      <c r="K14" s="547"/>
      <c r="L14" s="828">
        <v>0</v>
      </c>
      <c r="M14" s="828">
        <v>426.81700000000001</v>
      </c>
      <c r="P14" s="547">
        <v>0</v>
      </c>
    </row>
    <row r="15" spans="1:25" ht="21.95" customHeight="1">
      <c r="A15" s="826" t="s">
        <v>586</v>
      </c>
      <c r="B15" s="826" t="s">
        <v>587</v>
      </c>
      <c r="C15" s="560">
        <v>0.84</v>
      </c>
      <c r="D15" s="1109">
        <v>11.062700000000001</v>
      </c>
      <c r="E15" s="560">
        <v>7.8E-2</v>
      </c>
      <c r="F15" s="560"/>
      <c r="G15" s="560">
        <v>7.8E-2</v>
      </c>
      <c r="H15" s="560">
        <v>0.84</v>
      </c>
      <c r="I15" s="1089">
        <v>8.5800000000000001E-2</v>
      </c>
      <c r="J15" s="1109">
        <v>11.062700000000001</v>
      </c>
      <c r="L15" s="828">
        <v>0</v>
      </c>
      <c r="M15" s="547">
        <v>465.52099999999996</v>
      </c>
      <c r="N15" s="566">
        <v>465.52099999999996</v>
      </c>
      <c r="P15" s="547">
        <v>0</v>
      </c>
    </row>
    <row r="16" spans="1:25" ht="21.95" customHeight="1">
      <c r="A16" s="826" t="s">
        <v>588</v>
      </c>
      <c r="B16" s="1008" t="s">
        <v>847</v>
      </c>
      <c r="C16" s="560"/>
      <c r="D16" s="1109">
        <v>7.7</v>
      </c>
      <c r="E16" s="560"/>
      <c r="F16" s="560"/>
      <c r="G16" s="560">
        <v>0</v>
      </c>
      <c r="H16" s="560"/>
      <c r="I16" s="1089">
        <v>0</v>
      </c>
      <c r="J16" s="1109">
        <v>7.7</v>
      </c>
      <c r="L16" s="828">
        <v>0</v>
      </c>
      <c r="M16" s="146">
        <v>997.11347499999999</v>
      </c>
      <c r="N16" s="828">
        <v>169.15907500000003</v>
      </c>
      <c r="P16" s="547">
        <v>0</v>
      </c>
    </row>
    <row r="17" spans="1:16" ht="21.95" customHeight="1">
      <c r="A17" s="826" t="s">
        <v>589</v>
      </c>
      <c r="B17" s="826" t="s">
        <v>590</v>
      </c>
      <c r="C17" s="560"/>
      <c r="D17" s="1109">
        <v>33</v>
      </c>
      <c r="E17" s="560"/>
      <c r="F17" s="560"/>
      <c r="G17" s="560">
        <v>0</v>
      </c>
      <c r="H17" s="560"/>
      <c r="I17" s="1089">
        <v>0</v>
      </c>
      <c r="J17" s="1109">
        <v>33</v>
      </c>
      <c r="L17" s="828">
        <v>0</v>
      </c>
      <c r="M17" s="547">
        <v>531.59247500000004</v>
      </c>
      <c r="P17" s="547">
        <v>0</v>
      </c>
    </row>
    <row r="18" spans="1:16" ht="21.95" customHeight="1">
      <c r="A18" s="826" t="s">
        <v>591</v>
      </c>
      <c r="B18" s="826" t="s">
        <v>1361</v>
      </c>
      <c r="C18" s="560">
        <v>416.72500000000002</v>
      </c>
      <c r="D18" s="1109">
        <v>330</v>
      </c>
      <c r="E18" s="560">
        <v>340.19799999999998</v>
      </c>
      <c r="F18" s="560">
        <v>8</v>
      </c>
      <c r="G18" s="560">
        <v>348.19799999999998</v>
      </c>
      <c r="H18" s="560">
        <v>416.72500000000002</v>
      </c>
      <c r="I18" s="1089">
        <v>383.01780000000002</v>
      </c>
      <c r="J18" s="1109">
        <v>330</v>
      </c>
      <c r="K18" s="829"/>
      <c r="L18" s="828">
        <v>-8</v>
      </c>
      <c r="N18" s="566">
        <v>1096.8248225</v>
      </c>
      <c r="P18" s="547">
        <v>0</v>
      </c>
    </row>
    <row r="19" spans="1:16" ht="21.95" hidden="1" customHeight="1">
      <c r="A19" s="826" t="s">
        <v>592</v>
      </c>
      <c r="B19" s="826" t="s">
        <v>593</v>
      </c>
      <c r="C19" s="560"/>
      <c r="D19" s="1014"/>
      <c r="E19" s="560"/>
      <c r="F19" s="560"/>
      <c r="G19" s="560">
        <v>0</v>
      </c>
      <c r="H19" s="560"/>
      <c r="I19" s="1089">
        <v>0</v>
      </c>
      <c r="J19" s="1014"/>
      <c r="L19" s="828">
        <v>0</v>
      </c>
      <c r="N19" s="828">
        <v>512.07310000000007</v>
      </c>
      <c r="P19" s="547">
        <v>0</v>
      </c>
    </row>
    <row r="20" spans="1:16" ht="21.95" customHeight="1">
      <c r="A20" s="826" t="s">
        <v>1416</v>
      </c>
      <c r="B20" s="826" t="s">
        <v>1360</v>
      </c>
      <c r="C20" s="560"/>
      <c r="D20" s="1109">
        <v>9.7620000000000005</v>
      </c>
      <c r="E20" s="560"/>
      <c r="F20" s="560"/>
      <c r="G20" s="560">
        <v>0</v>
      </c>
      <c r="H20" s="560"/>
      <c r="I20" s="1089">
        <v>0</v>
      </c>
      <c r="J20" s="1109">
        <v>9.7620000000000005</v>
      </c>
      <c r="K20" s="547"/>
      <c r="L20" s="828">
        <v>0</v>
      </c>
      <c r="N20" s="828"/>
      <c r="P20" s="547">
        <v>0</v>
      </c>
    </row>
    <row r="21" spans="1:16" ht="21.95" customHeight="1">
      <c r="A21" s="826" t="s">
        <v>594</v>
      </c>
      <c r="B21" s="826" t="s">
        <v>1359</v>
      </c>
      <c r="C21" s="560"/>
      <c r="D21" s="1109">
        <v>33</v>
      </c>
      <c r="E21" s="560"/>
      <c r="F21" s="560"/>
      <c r="G21" s="560">
        <v>0</v>
      </c>
      <c r="H21" s="560"/>
      <c r="I21" s="1089">
        <v>0</v>
      </c>
      <c r="J21" s="1109">
        <v>33</v>
      </c>
      <c r="K21" s="547"/>
      <c r="L21" s="828">
        <v>0</v>
      </c>
      <c r="N21" s="547">
        <v>584.75172249999991</v>
      </c>
      <c r="P21" s="547">
        <v>0</v>
      </c>
    </row>
    <row r="22" spans="1:16">
      <c r="A22" s="826" t="s">
        <v>596</v>
      </c>
      <c r="B22" s="826" t="s">
        <v>597</v>
      </c>
      <c r="C22" s="560"/>
      <c r="D22" s="1109">
        <v>7.7000000000000011</v>
      </c>
      <c r="E22" s="560"/>
      <c r="F22" s="560"/>
      <c r="G22" s="560">
        <v>0</v>
      </c>
      <c r="H22" s="560"/>
      <c r="I22" s="1089">
        <v>0</v>
      </c>
      <c r="J22" s="1109">
        <v>7.7000000000000011</v>
      </c>
      <c r="L22" s="828">
        <v>0</v>
      </c>
      <c r="P22" s="547">
        <v>0</v>
      </c>
    </row>
    <row r="23" spans="1:16" hidden="1">
      <c r="A23" s="826" t="s">
        <v>598</v>
      </c>
      <c r="B23" s="826" t="s">
        <v>599</v>
      </c>
      <c r="C23" s="560"/>
      <c r="D23" s="1014"/>
      <c r="E23" s="560"/>
      <c r="F23" s="560"/>
      <c r="G23" s="560">
        <v>0</v>
      </c>
      <c r="H23" s="560"/>
      <c r="I23" s="1089">
        <v>0</v>
      </c>
      <c r="J23" s="1014"/>
      <c r="L23" s="828">
        <v>0</v>
      </c>
      <c r="P23" s="547">
        <v>0</v>
      </c>
    </row>
    <row r="24" spans="1:16" ht="25.5" hidden="1">
      <c r="A24" s="826" t="s">
        <v>600</v>
      </c>
      <c r="B24" s="826" t="s">
        <v>1385</v>
      </c>
      <c r="C24" s="560"/>
      <c r="D24" s="1014"/>
      <c r="E24" s="560"/>
      <c r="F24" s="560"/>
      <c r="G24" s="560">
        <v>0</v>
      </c>
      <c r="H24" s="560"/>
      <c r="I24" s="1089">
        <v>0</v>
      </c>
      <c r="J24" s="1014"/>
      <c r="L24" s="828">
        <v>0</v>
      </c>
      <c r="P24" s="547">
        <v>0</v>
      </c>
    </row>
    <row r="25" spans="1:16" ht="25.5" hidden="1">
      <c r="A25" s="826" t="s">
        <v>602</v>
      </c>
      <c r="B25" s="826" t="s">
        <v>848</v>
      </c>
      <c r="C25" s="560"/>
      <c r="D25" s="1014"/>
      <c r="E25" s="560"/>
      <c r="F25" s="560"/>
      <c r="G25" s="560">
        <v>0</v>
      </c>
      <c r="H25" s="560"/>
      <c r="I25" s="1089">
        <v>0</v>
      </c>
      <c r="J25" s="1014"/>
      <c r="L25" s="828">
        <v>0</v>
      </c>
      <c r="P25" s="547">
        <v>0</v>
      </c>
    </row>
    <row r="26" spans="1:16" ht="21.95" customHeight="1">
      <c r="A26" s="826" t="s">
        <v>914</v>
      </c>
      <c r="B26" s="826" t="s">
        <v>949</v>
      </c>
      <c r="C26" s="560">
        <v>0.36799999999999999</v>
      </c>
      <c r="D26" s="1110">
        <v>1.9940000000000002</v>
      </c>
      <c r="E26" s="560">
        <v>0.29499999999999998</v>
      </c>
      <c r="F26" s="560"/>
      <c r="G26" s="560">
        <v>0.29499999999999998</v>
      </c>
      <c r="H26" s="560">
        <v>0.36799999999999999</v>
      </c>
      <c r="I26" s="1089">
        <v>1.9940000000000002</v>
      </c>
      <c r="J26" s="1110">
        <v>1.9940000000000002</v>
      </c>
      <c r="L26" s="828">
        <v>0</v>
      </c>
      <c r="P26" s="547">
        <v>0</v>
      </c>
    </row>
    <row r="27" spans="1:16" ht="21.95" hidden="1" customHeight="1">
      <c r="A27" s="826" t="s">
        <v>950</v>
      </c>
      <c r="B27" s="826" t="s">
        <v>952</v>
      </c>
      <c r="C27" s="560"/>
      <c r="D27" s="1094" t="s">
        <v>954</v>
      </c>
      <c r="E27" s="560"/>
      <c r="F27" s="560"/>
      <c r="G27" s="560">
        <v>0</v>
      </c>
      <c r="H27" s="560"/>
      <c r="I27" s="1089">
        <v>0</v>
      </c>
      <c r="J27" s="1094" t="s">
        <v>954</v>
      </c>
      <c r="L27" s="828">
        <v>0</v>
      </c>
      <c r="P27" s="547">
        <v>0</v>
      </c>
    </row>
    <row r="28" spans="1:16" ht="21.95" hidden="1" customHeight="1">
      <c r="A28" s="826" t="s">
        <v>951</v>
      </c>
      <c r="B28" s="826" t="s">
        <v>953</v>
      </c>
      <c r="C28" s="560"/>
      <c r="D28" s="1094" t="s">
        <v>954</v>
      </c>
      <c r="E28" s="560"/>
      <c r="F28" s="560"/>
      <c r="G28" s="560">
        <v>0</v>
      </c>
      <c r="H28" s="560"/>
      <c r="I28" s="1089">
        <v>0</v>
      </c>
      <c r="J28" s="1094" t="s">
        <v>954</v>
      </c>
      <c r="L28" s="828">
        <v>0</v>
      </c>
      <c r="P28" s="547">
        <v>0</v>
      </c>
    </row>
    <row r="29" spans="1:16" ht="21.95" customHeight="1">
      <c r="A29" s="826" t="s">
        <v>603</v>
      </c>
      <c r="B29" s="826" t="s">
        <v>604</v>
      </c>
      <c r="C29" s="560">
        <v>63.146999999999998</v>
      </c>
      <c r="D29" s="1109">
        <v>73.592200000000005</v>
      </c>
      <c r="E29" s="560">
        <v>47.625999999999998</v>
      </c>
      <c r="F29" s="560"/>
      <c r="G29" s="560">
        <v>47.625999999999998</v>
      </c>
      <c r="H29" s="560">
        <v>63.146999999999998</v>
      </c>
      <c r="I29" s="1089">
        <v>52.388600000000004</v>
      </c>
      <c r="J29" s="1109">
        <v>73.592200000000005</v>
      </c>
      <c r="L29" s="828">
        <v>0</v>
      </c>
      <c r="P29" s="547">
        <v>0</v>
      </c>
    </row>
    <row r="30" spans="1:16" ht="21" customHeight="1">
      <c r="A30" s="997" t="s">
        <v>617</v>
      </c>
      <c r="B30" s="998" t="s">
        <v>618</v>
      </c>
      <c r="C30" s="999">
        <v>95.702000000000012</v>
      </c>
      <c r="D30" s="999">
        <v>107.1521</v>
      </c>
      <c r="E30" s="999">
        <v>112.072</v>
      </c>
      <c r="F30" s="999">
        <v>0</v>
      </c>
      <c r="G30" s="999">
        <v>112.072</v>
      </c>
      <c r="H30" s="999">
        <v>95.702000000000012</v>
      </c>
      <c r="I30" s="1055">
        <v>123.2792</v>
      </c>
      <c r="J30" s="1093">
        <v>107.1521</v>
      </c>
      <c r="L30" s="828">
        <v>0</v>
      </c>
      <c r="P30" s="547">
        <v>0</v>
      </c>
    </row>
    <row r="31" spans="1:16" ht="21.95" customHeight="1">
      <c r="A31" s="826" t="s">
        <v>290</v>
      </c>
      <c r="B31" s="826" t="s">
        <v>606</v>
      </c>
      <c r="C31" s="560">
        <v>21.856999999999999</v>
      </c>
      <c r="D31" s="1109">
        <v>29.320500000000003</v>
      </c>
      <c r="E31" s="560">
        <v>27.132000000000001</v>
      </c>
      <c r="F31" s="560"/>
      <c r="G31" s="560">
        <v>27.132000000000001</v>
      </c>
      <c r="H31" s="560">
        <v>21.856999999999999</v>
      </c>
      <c r="I31" s="1089">
        <v>29.845200000000006</v>
      </c>
      <c r="J31" s="1109">
        <v>29.320500000000003</v>
      </c>
      <c r="L31" s="828">
        <v>0</v>
      </c>
      <c r="P31" s="547">
        <v>0</v>
      </c>
    </row>
    <row r="32" spans="1:16" ht="21.95" customHeight="1">
      <c r="A32" s="826" t="s">
        <v>607</v>
      </c>
      <c r="B32" s="826" t="s">
        <v>608</v>
      </c>
      <c r="C32" s="560">
        <v>18.734999999999999</v>
      </c>
      <c r="D32" s="1109">
        <v>19.339100000000002</v>
      </c>
      <c r="E32" s="560">
        <v>33.914999999999999</v>
      </c>
      <c r="F32" s="560"/>
      <c r="G32" s="560">
        <v>33.914999999999999</v>
      </c>
      <c r="H32" s="560">
        <v>18.734999999999999</v>
      </c>
      <c r="I32" s="1089">
        <v>37.3065</v>
      </c>
      <c r="J32" s="1109">
        <v>19.339100000000002</v>
      </c>
      <c r="L32" s="828">
        <v>0</v>
      </c>
      <c r="P32" s="547">
        <v>0</v>
      </c>
    </row>
    <row r="33" spans="1:16" ht="21.95" customHeight="1">
      <c r="A33" s="826" t="s">
        <v>609</v>
      </c>
      <c r="B33" s="826" t="s">
        <v>610</v>
      </c>
      <c r="C33" s="560">
        <v>36.209000000000003</v>
      </c>
      <c r="D33" s="1109">
        <v>34.694000000000003</v>
      </c>
      <c r="E33" s="560">
        <v>27.132000000000001</v>
      </c>
      <c r="F33" s="560"/>
      <c r="G33" s="560">
        <v>27.132000000000001</v>
      </c>
      <c r="H33" s="560">
        <v>36.209000000000003</v>
      </c>
      <c r="I33" s="1089">
        <v>29.845200000000006</v>
      </c>
      <c r="J33" s="1109">
        <v>34.694000000000003</v>
      </c>
      <c r="L33" s="828">
        <v>0</v>
      </c>
      <c r="P33" s="547">
        <v>0</v>
      </c>
    </row>
    <row r="34" spans="1:16" ht="21.95" customHeight="1">
      <c r="A34" s="826" t="s">
        <v>611</v>
      </c>
      <c r="B34" s="826" t="s">
        <v>612</v>
      </c>
      <c r="C34" s="560">
        <v>13.750999999999999</v>
      </c>
      <c r="D34" s="1109">
        <v>19.339100000000002</v>
      </c>
      <c r="E34" s="560">
        <v>20.349</v>
      </c>
      <c r="F34" s="560"/>
      <c r="G34" s="560">
        <v>20.349</v>
      </c>
      <c r="H34" s="560">
        <v>13.750999999999999</v>
      </c>
      <c r="I34" s="1089">
        <v>22.383900000000001</v>
      </c>
      <c r="J34" s="1109">
        <v>19.339100000000002</v>
      </c>
      <c r="L34" s="828">
        <v>0</v>
      </c>
      <c r="P34" s="547">
        <v>0</v>
      </c>
    </row>
    <row r="35" spans="1:16" ht="21.95" customHeight="1">
      <c r="A35" s="826" t="s">
        <v>613</v>
      </c>
      <c r="B35" s="826" t="s">
        <v>614</v>
      </c>
      <c r="C35" s="560">
        <v>5.15</v>
      </c>
      <c r="D35" s="1109">
        <v>4.4594000000000005</v>
      </c>
      <c r="E35" s="560">
        <v>3.544</v>
      </c>
      <c r="F35" s="560"/>
      <c r="G35" s="560">
        <v>3.544</v>
      </c>
      <c r="H35" s="560">
        <v>5.15</v>
      </c>
      <c r="I35" s="1089">
        <v>3.8984000000000005</v>
      </c>
      <c r="J35" s="1109">
        <v>4.4594000000000005</v>
      </c>
      <c r="L35" s="828">
        <v>0</v>
      </c>
      <c r="P35" s="547">
        <v>0</v>
      </c>
    </row>
    <row r="36" spans="1:16" ht="21.95" hidden="1" customHeight="1">
      <c r="A36" s="826" t="s">
        <v>615</v>
      </c>
      <c r="B36" s="826" t="s">
        <v>616</v>
      </c>
      <c r="C36" s="560"/>
      <c r="D36" s="560"/>
      <c r="E36" s="560"/>
      <c r="F36" s="560"/>
      <c r="G36" s="560"/>
      <c r="H36" s="560"/>
      <c r="I36" s="1089"/>
      <c r="J36" s="1014"/>
      <c r="L36" s="828">
        <v>0</v>
      </c>
      <c r="P36" s="547">
        <v>0</v>
      </c>
    </row>
    <row r="37" spans="1:16" ht="21" customHeight="1">
      <c r="A37" s="1006" t="s">
        <v>619</v>
      </c>
      <c r="B37" s="1007" t="s">
        <v>620</v>
      </c>
      <c r="C37" s="1012"/>
      <c r="D37" s="1012"/>
      <c r="E37" s="1012"/>
      <c r="F37" s="1012"/>
      <c r="G37" s="1012"/>
      <c r="H37" s="1054"/>
      <c r="I37" s="1090">
        <v>0</v>
      </c>
      <c r="J37" s="1093">
        <v>0</v>
      </c>
      <c r="L37" s="828">
        <v>0</v>
      </c>
      <c r="P37" s="547">
        <v>0</v>
      </c>
    </row>
    <row r="38" spans="1:16" ht="7.5" customHeight="1">
      <c r="A38" s="1271"/>
      <c r="B38" s="1272"/>
      <c r="C38" s="1272"/>
      <c r="D38" s="1272"/>
      <c r="E38" s="1272"/>
      <c r="F38" s="1272"/>
      <c r="G38" s="1272"/>
      <c r="H38" s="1272"/>
      <c r="I38" s="1272"/>
      <c r="J38" s="1014"/>
      <c r="L38" s="828">
        <v>0</v>
      </c>
      <c r="P38" s="547">
        <v>0</v>
      </c>
    </row>
    <row r="39" spans="1:16" ht="25.5" customHeight="1">
      <c r="A39" s="1268" t="s">
        <v>1491</v>
      </c>
      <c r="B39" s="1269"/>
      <c r="C39" s="1013">
        <v>193.41500000000002</v>
      </c>
      <c r="D39" s="1013">
        <v>281.30734580000001</v>
      </c>
      <c r="E39" s="1013">
        <v>173.87700000000001</v>
      </c>
      <c r="F39" s="1013">
        <v>25.170999999999999</v>
      </c>
      <c r="G39" s="1013">
        <v>199.04800000000006</v>
      </c>
      <c r="H39" s="1013">
        <v>193.41500000000002</v>
      </c>
      <c r="I39" s="1091">
        <v>230.21709999999999</v>
      </c>
      <c r="J39" s="1095">
        <v>250.88655000000003</v>
      </c>
      <c r="L39" s="828">
        <v>-25.171000000000049</v>
      </c>
      <c r="P39" s="547"/>
    </row>
    <row r="40" spans="1:16" ht="30">
      <c r="A40" s="991" t="s">
        <v>630</v>
      </c>
      <c r="B40" s="992" t="s">
        <v>854</v>
      </c>
      <c r="C40" s="559">
        <v>5.7869999999999999</v>
      </c>
      <c r="D40" s="559">
        <v>27.585000000000001</v>
      </c>
      <c r="E40" s="559">
        <v>1.627</v>
      </c>
      <c r="F40" s="559">
        <v>0</v>
      </c>
      <c r="G40" s="559">
        <v>1.627</v>
      </c>
      <c r="H40" s="559">
        <v>5.7869999999999999</v>
      </c>
      <c r="I40" s="1088">
        <v>27.585000000000001</v>
      </c>
      <c r="J40" s="1093">
        <v>15</v>
      </c>
      <c r="L40" s="828">
        <v>0</v>
      </c>
      <c r="P40" s="547">
        <v>0</v>
      </c>
    </row>
    <row r="41" spans="1:16" ht="21.95" customHeight="1">
      <c r="A41" s="826" t="s">
        <v>292</v>
      </c>
      <c r="B41" s="826" t="s">
        <v>1364</v>
      </c>
      <c r="C41" s="560">
        <v>5.7869999999999999</v>
      </c>
      <c r="D41" s="1109">
        <v>16.5</v>
      </c>
      <c r="E41" s="560">
        <v>1.627</v>
      </c>
      <c r="F41" s="560"/>
      <c r="G41" s="560">
        <v>1.627</v>
      </c>
      <c r="H41" s="560">
        <v>5.7869999999999999</v>
      </c>
      <c r="I41" s="1089">
        <v>16.5</v>
      </c>
      <c r="J41" s="1109">
        <v>10</v>
      </c>
      <c r="L41" s="828">
        <v>0</v>
      </c>
      <c r="P41" s="547">
        <v>0</v>
      </c>
    </row>
    <row r="42" spans="1:16">
      <c r="A42" s="1015" t="s">
        <v>635</v>
      </c>
      <c r="B42" s="154" t="s">
        <v>114</v>
      </c>
      <c r="C42" s="1014"/>
      <c r="D42" s="1014">
        <v>11.085000000000001</v>
      </c>
      <c r="E42" s="1014"/>
      <c r="F42" s="1014"/>
      <c r="G42" s="560">
        <v>0</v>
      </c>
      <c r="H42" s="1014"/>
      <c r="I42" s="1092">
        <v>11.085000000000001</v>
      </c>
      <c r="J42" s="1150">
        <v>5</v>
      </c>
      <c r="L42" s="828">
        <v>0</v>
      </c>
    </row>
    <row r="43" spans="1:16" ht="21.95" hidden="1" customHeight="1">
      <c r="A43" s="826" t="s">
        <v>622</v>
      </c>
      <c r="B43" s="826" t="s">
        <v>623</v>
      </c>
      <c r="C43" s="560"/>
      <c r="D43" s="560"/>
      <c r="E43" s="560"/>
      <c r="F43" s="560"/>
      <c r="G43" s="560"/>
      <c r="H43" s="560"/>
      <c r="I43" s="1089"/>
      <c r="J43" s="1014"/>
      <c r="L43" s="828">
        <v>0</v>
      </c>
      <c r="P43" s="547">
        <v>0</v>
      </c>
    </row>
    <row r="44" spans="1:16" ht="21.95" hidden="1" customHeight="1">
      <c r="A44" s="826" t="s">
        <v>624</v>
      </c>
      <c r="B44" s="826" t="s">
        <v>1363</v>
      </c>
      <c r="C44" s="560"/>
      <c r="D44" s="560"/>
      <c r="E44" s="560"/>
      <c r="F44" s="560"/>
      <c r="G44" s="560"/>
      <c r="H44" s="560"/>
      <c r="I44" s="1089"/>
      <c r="J44" s="1014"/>
      <c r="L44" s="828">
        <v>0</v>
      </c>
      <c r="P44" s="547">
        <v>0</v>
      </c>
    </row>
    <row r="45" spans="1:16" ht="25.5" hidden="1">
      <c r="A45" s="826" t="s">
        <v>626</v>
      </c>
      <c r="B45" s="826" t="s">
        <v>850</v>
      </c>
      <c r="C45" s="560"/>
      <c r="D45" s="560"/>
      <c r="E45" s="560"/>
      <c r="F45" s="560"/>
      <c r="G45" s="560"/>
      <c r="H45" s="560"/>
      <c r="I45" s="1089"/>
      <c r="J45" s="1014"/>
      <c r="L45" s="828">
        <v>0</v>
      </c>
      <c r="P45" s="547">
        <v>0</v>
      </c>
    </row>
    <row r="46" spans="1:16" ht="25.5" hidden="1">
      <c r="A46" s="826" t="s">
        <v>627</v>
      </c>
      <c r="B46" s="826" t="s">
        <v>851</v>
      </c>
      <c r="C46" s="560"/>
      <c r="D46" s="560"/>
      <c r="E46" s="560"/>
      <c r="F46" s="560"/>
      <c r="G46" s="560"/>
      <c r="H46" s="560"/>
      <c r="I46" s="1089"/>
      <c r="J46" s="1014"/>
      <c r="L46" s="828">
        <v>0</v>
      </c>
      <c r="P46" s="547">
        <v>0</v>
      </c>
    </row>
    <row r="47" spans="1:16" ht="21.95" hidden="1" customHeight="1">
      <c r="A47" s="826" t="s">
        <v>628</v>
      </c>
      <c r="B47" s="826" t="s">
        <v>629</v>
      </c>
      <c r="C47" s="560"/>
      <c r="D47" s="560"/>
      <c r="E47" s="560"/>
      <c r="F47" s="560"/>
      <c r="G47" s="560"/>
      <c r="H47" s="560"/>
      <c r="I47" s="1089"/>
      <c r="J47" s="1014"/>
      <c r="L47" s="828">
        <v>0</v>
      </c>
      <c r="P47" s="547">
        <v>0</v>
      </c>
    </row>
    <row r="48" spans="1:16" ht="34.5" hidden="1" customHeight="1">
      <c r="A48" s="997" t="s">
        <v>630</v>
      </c>
      <c r="B48" s="998" t="s">
        <v>852</v>
      </c>
      <c r="C48" s="999">
        <v>0</v>
      </c>
      <c r="D48" s="999">
        <v>0</v>
      </c>
      <c r="E48" s="999"/>
      <c r="F48" s="999"/>
      <c r="G48" s="999">
        <v>0</v>
      </c>
      <c r="H48" s="1055"/>
      <c r="I48" s="1055">
        <v>0</v>
      </c>
      <c r="J48" s="1014"/>
      <c r="L48" s="828">
        <v>0</v>
      </c>
      <c r="P48" s="547">
        <v>0</v>
      </c>
    </row>
    <row r="49" spans="1:16" ht="21.95" hidden="1" customHeight="1">
      <c r="A49" s="826" t="s">
        <v>631</v>
      </c>
      <c r="B49" s="826" t="s">
        <v>632</v>
      </c>
      <c r="C49" s="560"/>
      <c r="D49" s="560"/>
      <c r="E49" s="560"/>
      <c r="F49" s="560"/>
      <c r="G49" s="560"/>
      <c r="H49" s="560"/>
      <c r="I49" s="1089"/>
      <c r="J49" s="1014"/>
      <c r="L49" s="828">
        <v>0</v>
      </c>
      <c r="P49" s="547">
        <v>0</v>
      </c>
    </row>
    <row r="50" spans="1:16" ht="21.95" hidden="1" customHeight="1">
      <c r="A50" s="826" t="s">
        <v>633</v>
      </c>
      <c r="B50" s="826" t="s">
        <v>634</v>
      </c>
      <c r="C50" s="560"/>
      <c r="D50" s="560"/>
      <c r="E50" s="560"/>
      <c r="F50" s="560"/>
      <c r="G50" s="560"/>
      <c r="H50" s="560"/>
      <c r="I50" s="1089"/>
      <c r="J50" s="1014"/>
      <c r="L50" s="828">
        <v>0</v>
      </c>
      <c r="P50" s="547">
        <v>0</v>
      </c>
    </row>
    <row r="51" spans="1:16" ht="27" hidden="1" customHeight="1">
      <c r="A51" s="826" t="s">
        <v>635</v>
      </c>
      <c r="B51" s="826" t="s">
        <v>636</v>
      </c>
      <c r="C51" s="560"/>
      <c r="D51" s="560"/>
      <c r="E51" s="560"/>
      <c r="F51" s="560"/>
      <c r="G51" s="560"/>
      <c r="H51" s="560"/>
      <c r="I51" s="1089"/>
      <c r="J51" s="1014"/>
      <c r="L51" s="828">
        <v>0</v>
      </c>
      <c r="P51" s="547">
        <v>0</v>
      </c>
    </row>
    <row r="52" spans="1:16" ht="27" hidden="1" customHeight="1">
      <c r="A52" s="826" t="s">
        <v>637</v>
      </c>
      <c r="B52" s="826" t="s">
        <v>638</v>
      </c>
      <c r="C52" s="560"/>
      <c r="D52" s="560"/>
      <c r="E52" s="560"/>
      <c r="F52" s="560"/>
      <c r="G52" s="560"/>
      <c r="H52" s="560"/>
      <c r="I52" s="1089"/>
      <c r="J52" s="1014"/>
      <c r="L52" s="828">
        <v>0</v>
      </c>
      <c r="P52" s="547">
        <v>0</v>
      </c>
    </row>
    <row r="53" spans="1:16" ht="21.95" hidden="1" customHeight="1">
      <c r="A53" s="826" t="s">
        <v>639</v>
      </c>
      <c r="B53" s="826" t="s">
        <v>640</v>
      </c>
      <c r="C53" s="560"/>
      <c r="D53" s="560"/>
      <c r="E53" s="560"/>
      <c r="F53" s="560"/>
      <c r="G53" s="560"/>
      <c r="H53" s="560"/>
      <c r="I53" s="1089"/>
      <c r="J53" s="1014"/>
      <c r="L53" s="828">
        <v>0</v>
      </c>
      <c r="P53" s="547">
        <v>0</v>
      </c>
    </row>
    <row r="54" spans="1:16" ht="40.5" hidden="1" customHeight="1">
      <c r="A54" s="997" t="s">
        <v>291</v>
      </c>
      <c r="B54" s="1001" t="s">
        <v>649</v>
      </c>
      <c r="C54" s="999">
        <v>0</v>
      </c>
      <c r="D54" s="999">
        <v>0</v>
      </c>
      <c r="E54" s="999"/>
      <c r="F54" s="999"/>
      <c r="G54" s="999">
        <v>0</v>
      </c>
      <c r="H54" s="1055"/>
      <c r="I54" s="1055">
        <v>0</v>
      </c>
      <c r="J54" s="1014"/>
      <c r="L54" s="828">
        <v>0</v>
      </c>
      <c r="P54" s="547">
        <v>0</v>
      </c>
    </row>
    <row r="55" spans="1:16" ht="25.5" hidden="1">
      <c r="A55" s="826" t="s">
        <v>641</v>
      </c>
      <c r="B55" s="826" t="s">
        <v>642</v>
      </c>
      <c r="C55" s="560"/>
      <c r="D55" s="560"/>
      <c r="E55" s="560"/>
      <c r="F55" s="560"/>
      <c r="G55" s="560"/>
      <c r="H55" s="560"/>
      <c r="I55" s="1089"/>
      <c r="J55" s="1014"/>
      <c r="L55" s="828">
        <v>0</v>
      </c>
      <c r="P55" s="547">
        <v>0</v>
      </c>
    </row>
    <row r="56" spans="1:16" ht="25.5" hidden="1">
      <c r="A56" s="826" t="s">
        <v>643</v>
      </c>
      <c r="B56" s="826" t="s">
        <v>644</v>
      </c>
      <c r="C56" s="560"/>
      <c r="D56" s="560"/>
      <c r="E56" s="560"/>
      <c r="F56" s="560"/>
      <c r="G56" s="560"/>
      <c r="H56" s="560"/>
      <c r="I56" s="1089"/>
      <c r="J56" s="1014"/>
      <c r="L56" s="828">
        <v>0</v>
      </c>
      <c r="P56" s="547">
        <v>0</v>
      </c>
    </row>
    <row r="57" spans="1:16" ht="25.5" hidden="1">
      <c r="A57" s="826" t="s">
        <v>645</v>
      </c>
      <c r="B57" s="826" t="s">
        <v>646</v>
      </c>
      <c r="C57" s="560"/>
      <c r="D57" s="560"/>
      <c r="E57" s="560"/>
      <c r="F57" s="560"/>
      <c r="G57" s="560"/>
      <c r="H57" s="560"/>
      <c r="I57" s="1089"/>
      <c r="J57" s="1014"/>
      <c r="L57" s="828">
        <v>0</v>
      </c>
      <c r="P57" s="547">
        <v>0</v>
      </c>
    </row>
    <row r="58" spans="1:16" ht="25.5" hidden="1">
      <c r="A58" s="826" t="s">
        <v>647</v>
      </c>
      <c r="B58" s="826" t="s">
        <v>648</v>
      </c>
      <c r="C58" s="560"/>
      <c r="D58" s="560"/>
      <c r="E58" s="560"/>
      <c r="F58" s="560"/>
      <c r="G58" s="560"/>
      <c r="H58" s="560"/>
      <c r="I58" s="1089"/>
      <c r="J58" s="1014"/>
      <c r="L58" s="828">
        <v>0</v>
      </c>
      <c r="P58" s="547">
        <v>0</v>
      </c>
    </row>
    <row r="59" spans="1:16" ht="30" hidden="1">
      <c r="A59" s="1000" t="s">
        <v>666</v>
      </c>
      <c r="B59" s="1001" t="s">
        <v>853</v>
      </c>
      <c r="C59" s="999">
        <v>0</v>
      </c>
      <c r="D59" s="999">
        <v>0</v>
      </c>
      <c r="E59" s="999"/>
      <c r="F59" s="999"/>
      <c r="G59" s="999">
        <v>0</v>
      </c>
      <c r="H59" s="1055"/>
      <c r="I59" s="1055">
        <v>0</v>
      </c>
      <c r="J59" s="1014"/>
      <c r="L59" s="828">
        <v>0</v>
      </c>
      <c r="P59" s="547">
        <v>0</v>
      </c>
    </row>
    <row r="60" spans="1:16" ht="21" hidden="1" customHeight="1">
      <c r="A60" s="826" t="s">
        <v>650</v>
      </c>
      <c r="B60" s="826" t="s">
        <v>651</v>
      </c>
      <c r="C60" s="560"/>
      <c r="D60" s="560"/>
      <c r="E60" s="560"/>
      <c r="F60" s="560"/>
      <c r="G60" s="560"/>
      <c r="H60" s="560"/>
      <c r="I60" s="1089"/>
      <c r="J60" s="1014"/>
      <c r="L60" s="828">
        <v>0</v>
      </c>
      <c r="P60" s="547">
        <v>0</v>
      </c>
    </row>
    <row r="61" spans="1:16" ht="25.5" hidden="1">
      <c r="A61" s="826" t="s">
        <v>652</v>
      </c>
      <c r="B61" s="826" t="s">
        <v>653</v>
      </c>
      <c r="C61" s="560"/>
      <c r="D61" s="560"/>
      <c r="E61" s="560"/>
      <c r="F61" s="560"/>
      <c r="G61" s="560"/>
      <c r="H61" s="560"/>
      <c r="I61" s="1089"/>
      <c r="J61" s="1014"/>
      <c r="L61" s="828">
        <v>0</v>
      </c>
      <c r="P61" s="547">
        <v>0</v>
      </c>
    </row>
    <row r="62" spans="1:16" ht="25.5" hidden="1">
      <c r="A62" s="826" t="s">
        <v>654</v>
      </c>
      <c r="B62" s="826" t="s">
        <v>655</v>
      </c>
      <c r="C62" s="560"/>
      <c r="D62" s="560"/>
      <c r="E62" s="560"/>
      <c r="F62" s="560"/>
      <c r="G62" s="560"/>
      <c r="H62" s="560"/>
      <c r="I62" s="1089"/>
      <c r="J62" s="1014"/>
      <c r="L62" s="828">
        <v>0</v>
      </c>
      <c r="P62" s="547">
        <v>0</v>
      </c>
    </row>
    <row r="63" spans="1:16" ht="21" hidden="1" customHeight="1">
      <c r="A63" s="826" t="s">
        <v>656</v>
      </c>
      <c r="B63" s="826" t="s">
        <v>657</v>
      </c>
      <c r="C63" s="560"/>
      <c r="D63" s="560"/>
      <c r="E63" s="560"/>
      <c r="F63" s="560"/>
      <c r="G63" s="560"/>
      <c r="H63" s="560"/>
      <c r="I63" s="1089"/>
      <c r="J63" s="1014"/>
      <c r="L63" s="828">
        <v>0</v>
      </c>
      <c r="P63" s="547">
        <v>0</v>
      </c>
    </row>
    <row r="64" spans="1:16" ht="21" hidden="1" customHeight="1">
      <c r="A64" s="826" t="s">
        <v>658</v>
      </c>
      <c r="B64" s="826" t="s">
        <v>659</v>
      </c>
      <c r="C64" s="560"/>
      <c r="D64" s="560"/>
      <c r="E64" s="560"/>
      <c r="F64" s="560"/>
      <c r="G64" s="560"/>
      <c r="H64" s="560"/>
      <c r="I64" s="1089"/>
      <c r="J64" s="1014"/>
      <c r="L64" s="828">
        <v>0</v>
      </c>
      <c r="P64" s="547">
        <v>0</v>
      </c>
    </row>
    <row r="65" spans="1:16" ht="21" hidden="1" customHeight="1">
      <c r="A65" s="826" t="s">
        <v>660</v>
      </c>
      <c r="B65" s="826" t="s">
        <v>661</v>
      </c>
      <c r="C65" s="560"/>
      <c r="D65" s="560"/>
      <c r="E65" s="560"/>
      <c r="F65" s="560"/>
      <c r="G65" s="560"/>
      <c r="H65" s="560"/>
      <c r="I65" s="1089"/>
      <c r="J65" s="1014"/>
      <c r="L65" s="828">
        <v>0</v>
      </c>
      <c r="P65" s="547">
        <v>0</v>
      </c>
    </row>
    <row r="66" spans="1:16" ht="21" hidden="1" customHeight="1">
      <c r="A66" s="826" t="s">
        <v>662</v>
      </c>
      <c r="B66" s="826" t="s">
        <v>663</v>
      </c>
      <c r="C66" s="560"/>
      <c r="D66" s="560"/>
      <c r="E66" s="560"/>
      <c r="F66" s="560"/>
      <c r="G66" s="560"/>
      <c r="H66" s="560"/>
      <c r="I66" s="1089"/>
      <c r="J66" s="1014"/>
      <c r="L66" s="828">
        <v>0</v>
      </c>
      <c r="P66" s="547">
        <v>0</v>
      </c>
    </row>
    <row r="67" spans="1:16" hidden="1">
      <c r="A67" s="826" t="s">
        <v>664</v>
      </c>
      <c r="B67" s="826" t="s">
        <v>665</v>
      </c>
      <c r="C67" s="560"/>
      <c r="D67" s="560"/>
      <c r="E67" s="560"/>
      <c r="F67" s="560"/>
      <c r="G67" s="560"/>
      <c r="H67" s="560"/>
      <c r="I67" s="1089"/>
      <c r="J67" s="1014"/>
      <c r="L67" s="828">
        <v>0</v>
      </c>
      <c r="P67" s="547">
        <v>0</v>
      </c>
    </row>
    <row r="68" spans="1:16" ht="21" customHeight="1">
      <c r="A68" s="997" t="s">
        <v>679</v>
      </c>
      <c r="B68" s="998" t="s">
        <v>680</v>
      </c>
      <c r="C68" s="999">
        <v>187.62800000000001</v>
      </c>
      <c r="D68" s="999">
        <v>253.72234580000003</v>
      </c>
      <c r="E68" s="999">
        <v>172.25</v>
      </c>
      <c r="F68" s="1131">
        <v>25.170999999999999</v>
      </c>
      <c r="G68" s="1131">
        <v>197.42100000000005</v>
      </c>
      <c r="H68" s="999">
        <v>187.62800000000001</v>
      </c>
      <c r="I68" s="1055">
        <v>202.63209999999998</v>
      </c>
      <c r="J68" s="1093">
        <v>235.88655000000003</v>
      </c>
      <c r="L68" s="828">
        <v>-25.171000000000049</v>
      </c>
      <c r="P68" s="547">
        <v>0</v>
      </c>
    </row>
    <row r="69" spans="1:16" ht="23.1" customHeight="1">
      <c r="A69" s="826" t="s">
        <v>293</v>
      </c>
      <c r="B69" s="826" t="s">
        <v>667</v>
      </c>
      <c r="C69" s="560">
        <v>11.183</v>
      </c>
      <c r="D69" s="1109">
        <v>15.765200000000002</v>
      </c>
      <c r="E69" s="560">
        <v>4.9950000000000001</v>
      </c>
      <c r="F69" s="560"/>
      <c r="G69" s="560">
        <v>4.9950000000000001</v>
      </c>
      <c r="H69" s="560">
        <v>11.183</v>
      </c>
      <c r="I69" s="1089">
        <v>5.4945000000000004</v>
      </c>
      <c r="J69" s="1109">
        <v>17.341999999999999</v>
      </c>
      <c r="L69" s="828">
        <v>0</v>
      </c>
      <c r="P69" s="547">
        <v>0</v>
      </c>
    </row>
    <row r="70" spans="1:16" ht="23.1" customHeight="1">
      <c r="A70" s="826" t="s">
        <v>668</v>
      </c>
      <c r="B70" s="826" t="s">
        <v>669</v>
      </c>
      <c r="C70" s="560">
        <v>4.1000000000000002E-2</v>
      </c>
      <c r="D70" s="1109">
        <v>9.0200000000000016E-2</v>
      </c>
      <c r="E70" s="560"/>
      <c r="F70" s="560">
        <v>0</v>
      </c>
      <c r="G70" s="560">
        <v>0</v>
      </c>
      <c r="H70" s="560">
        <v>4.1000000000000002E-2</v>
      </c>
      <c r="I70" s="1089">
        <v>0</v>
      </c>
      <c r="J70" s="1109">
        <v>9.9000000000000005E-2</v>
      </c>
      <c r="L70" s="828">
        <v>0</v>
      </c>
      <c r="P70" s="547">
        <v>0</v>
      </c>
    </row>
    <row r="71" spans="1:16" ht="23.1" customHeight="1">
      <c r="A71" s="826" t="s">
        <v>670</v>
      </c>
      <c r="B71" s="826" t="s">
        <v>671</v>
      </c>
      <c r="C71" s="560">
        <v>33.183</v>
      </c>
      <c r="D71" s="1109">
        <v>35.1252</v>
      </c>
      <c r="E71" s="560">
        <v>34.768999999999998</v>
      </c>
      <c r="F71" s="560"/>
      <c r="G71" s="560">
        <v>34.768999999999998</v>
      </c>
      <c r="H71" s="560">
        <v>33.183</v>
      </c>
      <c r="I71" s="1089">
        <v>38.245899999999999</v>
      </c>
      <c r="J71" s="1109">
        <v>38.637999999999998</v>
      </c>
      <c r="L71" s="828">
        <v>0</v>
      </c>
      <c r="P71" s="547">
        <v>0</v>
      </c>
    </row>
    <row r="72" spans="1:16" ht="23.1" hidden="1" customHeight="1">
      <c r="A72" s="826" t="s">
        <v>672</v>
      </c>
      <c r="B72" s="826" t="s">
        <v>673</v>
      </c>
      <c r="C72" s="560"/>
      <c r="D72" s="1014"/>
      <c r="E72" s="560"/>
      <c r="F72" s="560"/>
      <c r="G72" s="560">
        <v>0</v>
      </c>
      <c r="H72" s="560"/>
      <c r="I72" s="1089">
        <v>0</v>
      </c>
      <c r="J72" s="1014"/>
      <c r="L72" s="828">
        <v>0</v>
      </c>
      <c r="P72" s="547">
        <v>0</v>
      </c>
    </row>
    <row r="73" spans="1:16" ht="23.1" customHeight="1">
      <c r="A73" s="1267" t="s">
        <v>1343</v>
      </c>
      <c r="B73" s="826" t="s">
        <v>1348</v>
      </c>
      <c r="C73" s="560">
        <v>5.6150000000000002</v>
      </c>
      <c r="D73" s="1109">
        <v>6.6000000000000005</v>
      </c>
      <c r="E73" s="560">
        <v>1.401</v>
      </c>
      <c r="F73" s="560">
        <v>3.0990000000000002</v>
      </c>
      <c r="G73" s="560">
        <v>4.5</v>
      </c>
      <c r="H73" s="560">
        <v>5.6150000000000002</v>
      </c>
      <c r="I73" s="1089">
        <v>4.95</v>
      </c>
      <c r="J73" s="1109">
        <v>6.6000000000000005</v>
      </c>
      <c r="L73" s="828">
        <v>-3.0990000000000002</v>
      </c>
      <c r="P73" s="547">
        <v>0</v>
      </c>
    </row>
    <row r="74" spans="1:16" ht="23.1" hidden="1" customHeight="1">
      <c r="A74" s="1267"/>
      <c r="B74" s="826" t="s">
        <v>1349</v>
      </c>
      <c r="C74" s="560"/>
      <c r="D74" s="1014"/>
      <c r="E74" s="560"/>
      <c r="F74" s="560"/>
      <c r="G74" s="560">
        <v>0</v>
      </c>
      <c r="H74" s="560"/>
      <c r="I74" s="1089">
        <v>0</v>
      </c>
      <c r="J74" s="1014"/>
      <c r="L74" s="828">
        <v>0</v>
      </c>
      <c r="P74" s="547">
        <v>0</v>
      </c>
    </row>
    <row r="75" spans="1:16" ht="23.1" customHeight="1">
      <c r="A75" s="1267" t="s">
        <v>1344</v>
      </c>
      <c r="B75" s="826" t="s">
        <v>1354</v>
      </c>
      <c r="C75" s="560">
        <v>3</v>
      </c>
      <c r="D75" s="1109">
        <v>18.155528600000004</v>
      </c>
      <c r="E75" s="560"/>
      <c r="F75" s="560">
        <v>4</v>
      </c>
      <c r="G75" s="560">
        <v>4</v>
      </c>
      <c r="H75" s="560">
        <v>3</v>
      </c>
      <c r="I75" s="1089">
        <v>4.4000000000000004</v>
      </c>
      <c r="J75" s="1109">
        <v>10</v>
      </c>
      <c r="L75" s="828">
        <v>-4</v>
      </c>
      <c r="P75" s="547">
        <v>0</v>
      </c>
    </row>
    <row r="76" spans="1:16" ht="23.1" hidden="1" customHeight="1">
      <c r="A76" s="1267"/>
      <c r="B76" s="826" t="s">
        <v>1354</v>
      </c>
      <c r="C76" s="560"/>
      <c r="D76" s="1014"/>
      <c r="E76" s="560"/>
      <c r="F76" s="560">
        <v>0</v>
      </c>
      <c r="G76" s="560">
        <v>193.84899999999999</v>
      </c>
      <c r="H76" s="560"/>
      <c r="I76" s="1089"/>
      <c r="J76" s="1014"/>
      <c r="K76" s="547"/>
      <c r="L76" s="828">
        <v>0</v>
      </c>
      <c r="P76" s="547">
        <v>0</v>
      </c>
    </row>
    <row r="77" spans="1:16" ht="23.1" customHeight="1">
      <c r="A77" s="826" t="s">
        <v>1345</v>
      </c>
      <c r="B77" s="826" t="s">
        <v>1493</v>
      </c>
      <c r="C77" s="560"/>
      <c r="D77" s="1109">
        <v>0</v>
      </c>
      <c r="E77" s="560"/>
      <c r="F77" s="560"/>
      <c r="G77" s="560">
        <v>0</v>
      </c>
      <c r="H77" s="560"/>
      <c r="I77" s="1089"/>
      <c r="J77" s="1109">
        <v>0</v>
      </c>
      <c r="K77" s="547"/>
      <c r="L77" s="828">
        <v>0</v>
      </c>
      <c r="P77" s="547"/>
    </row>
    <row r="78" spans="1:16" ht="23.1" customHeight="1">
      <c r="A78" s="826" t="s">
        <v>1484</v>
      </c>
      <c r="B78" s="826" t="s">
        <v>1346</v>
      </c>
      <c r="C78" s="560">
        <v>15.625999999999999</v>
      </c>
      <c r="D78" s="1109">
        <v>18.035600000000002</v>
      </c>
      <c r="E78" s="560">
        <v>12.689</v>
      </c>
      <c r="F78" s="560">
        <v>4</v>
      </c>
      <c r="G78" s="560">
        <v>16.689</v>
      </c>
      <c r="H78" s="560">
        <v>15.625999999999999</v>
      </c>
      <c r="I78" s="1089">
        <v>18.357900000000001</v>
      </c>
      <c r="J78" s="1109">
        <v>19.84</v>
      </c>
      <c r="L78" s="828">
        <v>-4</v>
      </c>
      <c r="P78" s="547">
        <v>0</v>
      </c>
    </row>
    <row r="79" spans="1:16" ht="23.1" customHeight="1">
      <c r="A79" s="826" t="s">
        <v>1485</v>
      </c>
      <c r="B79" s="826" t="s">
        <v>1347</v>
      </c>
      <c r="C79" s="560">
        <v>8.0310000000000006</v>
      </c>
      <c r="D79" s="1109">
        <v>29.700000000000003</v>
      </c>
      <c r="E79" s="560">
        <v>10.077999999999999</v>
      </c>
      <c r="F79" s="560">
        <v>2.9220000000000006</v>
      </c>
      <c r="G79" s="560">
        <v>13</v>
      </c>
      <c r="H79" s="560">
        <v>8.0310000000000006</v>
      </c>
      <c r="I79" s="1089">
        <v>14.3</v>
      </c>
      <c r="J79" s="1109">
        <v>15</v>
      </c>
      <c r="L79" s="828">
        <v>-2.9220000000000006</v>
      </c>
      <c r="P79" s="547">
        <v>0</v>
      </c>
    </row>
    <row r="80" spans="1:16" ht="23.1" customHeight="1">
      <c r="A80" s="826" t="s">
        <v>674</v>
      </c>
      <c r="B80" s="826" t="s">
        <v>1365</v>
      </c>
      <c r="C80" s="560"/>
      <c r="D80" s="1109">
        <v>2.7980171999999999</v>
      </c>
      <c r="E80" s="560"/>
      <c r="F80" s="560"/>
      <c r="G80" s="560">
        <v>0</v>
      </c>
      <c r="H80" s="560"/>
      <c r="I80" s="1089">
        <v>0</v>
      </c>
      <c r="J80" s="1109"/>
      <c r="L80" s="828">
        <v>0</v>
      </c>
      <c r="P80" s="547">
        <v>0</v>
      </c>
    </row>
    <row r="81" spans="1:16" ht="23.1" customHeight="1">
      <c r="A81" s="826" t="s">
        <v>676</v>
      </c>
      <c r="B81" s="826" t="s">
        <v>677</v>
      </c>
      <c r="C81" s="560">
        <v>2.0870000000000002</v>
      </c>
      <c r="D81" s="1109">
        <v>3.9930000000000003</v>
      </c>
      <c r="E81" s="560">
        <v>16.84</v>
      </c>
      <c r="F81" s="560"/>
      <c r="G81" s="560">
        <v>16.84</v>
      </c>
      <c r="H81" s="560">
        <v>2.0870000000000002</v>
      </c>
      <c r="I81" s="1089">
        <v>3.9930000000000003</v>
      </c>
      <c r="J81" s="1109">
        <v>4.3920000000000003</v>
      </c>
      <c r="L81" s="828">
        <v>0</v>
      </c>
      <c r="P81" s="547">
        <v>0</v>
      </c>
    </row>
    <row r="82" spans="1:16" ht="23.1" customHeight="1">
      <c r="A82" s="826" t="s">
        <v>1173</v>
      </c>
      <c r="B82" s="826" t="s">
        <v>1174</v>
      </c>
      <c r="C82" s="560">
        <v>54.561</v>
      </c>
      <c r="D82" s="1109">
        <v>69.657500000000013</v>
      </c>
      <c r="E82" s="560">
        <v>47.162999999999997</v>
      </c>
      <c r="F82" s="560">
        <v>5</v>
      </c>
      <c r="G82" s="560">
        <v>52.162999999999997</v>
      </c>
      <c r="H82" s="560">
        <v>54.561</v>
      </c>
      <c r="I82" s="1089">
        <v>57.379300000000001</v>
      </c>
      <c r="J82" s="1109">
        <v>69.657500000000013</v>
      </c>
      <c r="L82" s="828">
        <v>-5</v>
      </c>
      <c r="P82" s="547">
        <v>0</v>
      </c>
    </row>
    <row r="83" spans="1:16" ht="23.1" customHeight="1">
      <c r="A83" s="826" t="s">
        <v>1175</v>
      </c>
      <c r="B83" s="826" t="s">
        <v>1176</v>
      </c>
      <c r="C83" s="560">
        <v>1E-3</v>
      </c>
      <c r="D83" s="1109">
        <v>1.1000000000000001E-3</v>
      </c>
      <c r="E83" s="560">
        <v>2E-3</v>
      </c>
      <c r="F83" s="560"/>
      <c r="G83" s="560">
        <v>2E-3</v>
      </c>
      <c r="H83" s="560">
        <v>1E-3</v>
      </c>
      <c r="I83" s="1089">
        <v>2.2000000000000001E-3</v>
      </c>
      <c r="J83" s="1109">
        <v>1.1000000000000001E-3</v>
      </c>
      <c r="L83" s="828">
        <v>0</v>
      </c>
      <c r="P83" s="547">
        <v>0</v>
      </c>
    </row>
    <row r="84" spans="1:16" ht="23.1" customHeight="1">
      <c r="A84" s="826" t="s">
        <v>1177</v>
      </c>
      <c r="B84" s="826" t="s">
        <v>1178</v>
      </c>
      <c r="C84" s="560">
        <v>1.5129999999999999</v>
      </c>
      <c r="D84" s="1109">
        <v>1.9800000000000002</v>
      </c>
      <c r="E84" s="560">
        <v>1.0289999999999999</v>
      </c>
      <c r="F84" s="560">
        <v>0.15</v>
      </c>
      <c r="G84" s="560">
        <v>1.1789999999999998</v>
      </c>
      <c r="H84" s="560">
        <v>1.5129999999999999</v>
      </c>
      <c r="I84" s="1089">
        <v>1.2968999999999999</v>
      </c>
      <c r="J84" s="1109">
        <v>1.9800000000000002</v>
      </c>
      <c r="L84" s="828">
        <v>-0.14999999999999991</v>
      </c>
      <c r="P84" s="547">
        <v>0</v>
      </c>
    </row>
    <row r="85" spans="1:16" ht="23.1" customHeight="1">
      <c r="A85" s="826" t="s">
        <v>1179</v>
      </c>
      <c r="B85" s="996" t="s">
        <v>678</v>
      </c>
      <c r="C85" s="560">
        <v>45.12</v>
      </c>
      <c r="D85" s="1109">
        <v>42.124500000000005</v>
      </c>
      <c r="E85" s="560">
        <v>38.793999999999997</v>
      </c>
      <c r="F85" s="560">
        <v>5</v>
      </c>
      <c r="G85" s="560">
        <v>43.793999999999997</v>
      </c>
      <c r="H85" s="560">
        <v>45.12</v>
      </c>
      <c r="I85" s="1089">
        <v>48.173400000000001</v>
      </c>
      <c r="J85" s="1109">
        <v>46.336950000000009</v>
      </c>
      <c r="L85" s="828">
        <v>-5</v>
      </c>
      <c r="M85" s="566">
        <v>0.253</v>
      </c>
      <c r="P85" s="547">
        <v>0</v>
      </c>
    </row>
    <row r="86" spans="1:16" ht="23.1" customHeight="1">
      <c r="A86" s="826" t="s">
        <v>1180</v>
      </c>
      <c r="B86" s="996" t="s">
        <v>1181</v>
      </c>
      <c r="C86" s="560">
        <v>7.6669999999999998</v>
      </c>
      <c r="D86" s="1109">
        <v>9.6965000000000003</v>
      </c>
      <c r="E86" s="560">
        <v>4.49</v>
      </c>
      <c r="F86" s="560">
        <v>1</v>
      </c>
      <c r="G86" s="560">
        <v>5.49</v>
      </c>
      <c r="H86" s="560">
        <v>7.6669999999999998</v>
      </c>
      <c r="I86" s="1089">
        <v>6.0390000000000006</v>
      </c>
      <c r="J86" s="1109">
        <v>6</v>
      </c>
      <c r="L86" s="828">
        <v>-1</v>
      </c>
      <c r="P86" s="547">
        <v>0</v>
      </c>
    </row>
    <row r="87" spans="1:16" s="317" customFormat="1" ht="21" customHeight="1">
      <c r="A87" s="993"/>
      <c r="B87" s="994" t="s">
        <v>859</v>
      </c>
      <c r="C87" s="995">
        <v>1536.4630000000002</v>
      </c>
      <c r="D87" s="995">
        <v>1962.7020858000001</v>
      </c>
      <c r="E87" s="995">
        <v>1439.3040000000001</v>
      </c>
      <c r="F87" s="995">
        <v>33.170999999999999</v>
      </c>
      <c r="G87" s="995">
        <v>1472.4750000000001</v>
      </c>
      <c r="H87" s="995">
        <v>1536.4630000000002</v>
      </c>
      <c r="I87" s="995">
        <v>1649.25794</v>
      </c>
      <c r="J87" s="995">
        <v>1932.2812899999999</v>
      </c>
      <c r="L87" s="828">
        <v>-33.171000000000049</v>
      </c>
      <c r="P87" s="547">
        <v>0</v>
      </c>
    </row>
    <row r="88" spans="1:16">
      <c r="L88" s="828">
        <v>0</v>
      </c>
    </row>
    <row r="90" spans="1:16">
      <c r="G90" s="547">
        <v>1472.4750000000001</v>
      </c>
      <c r="H90" s="566">
        <v>270.26899999999978</v>
      </c>
      <c r="I90" s="547">
        <v>-1222.8230600000002</v>
      </c>
    </row>
    <row r="91" spans="1:16">
      <c r="E91" s="547">
        <v>-9.9999999997635314E-4</v>
      </c>
      <c r="G91" s="547">
        <v>0</v>
      </c>
      <c r="H91" s="146">
        <v>270.27100000000002</v>
      </c>
    </row>
  </sheetData>
  <mergeCells count="13">
    <mergeCell ref="J6:J7"/>
    <mergeCell ref="A73:A74"/>
    <mergeCell ref="A75:A76"/>
    <mergeCell ref="A39:B39"/>
    <mergeCell ref="A4:I4"/>
    <mergeCell ref="A38:I38"/>
    <mergeCell ref="A8:I8"/>
    <mergeCell ref="D6:H6"/>
    <mergeCell ref="A2:I2"/>
    <mergeCell ref="A6:A7"/>
    <mergeCell ref="B6:B7"/>
    <mergeCell ref="C6:C7"/>
    <mergeCell ref="I6:I7"/>
  </mergeCells>
  <printOptions horizontalCentered="1"/>
  <pageMargins left="0.5" right="0.25" top="0.5" bottom="0.25" header="0.5" footer="0.15"/>
  <pageSetup paperSize="9" scale="6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Y97"/>
  <sheetViews>
    <sheetView showGridLines="0" view="pageBreakPreview" zoomScaleSheetLayoutView="100" workbookViewId="0">
      <pane xSplit="2" ySplit="7" topLeftCell="C77" activePane="bottomRight" state="frozen"/>
      <selection pane="topRight" activeCell="C1" sqref="C1"/>
      <selection pane="bottomLeft" activeCell="A8" sqref="A8"/>
      <selection pane="bottomRight" activeCell="A74" sqref="A74:J84"/>
    </sheetView>
  </sheetViews>
  <sheetFormatPr defaultRowHeight="14.25"/>
  <cols>
    <col min="1" max="1" width="9.85546875" style="158" customWidth="1"/>
    <col min="2" max="2" width="35.28515625" style="158" customWidth="1"/>
    <col min="3" max="3" width="15.7109375" style="158" customWidth="1"/>
    <col min="4" max="6" width="15.28515625" style="158" bestFit="1" customWidth="1"/>
    <col min="7" max="7" width="15.7109375" style="158" customWidth="1"/>
    <col min="8" max="9" width="15.7109375" style="158" hidden="1" customWidth="1"/>
    <col min="10" max="10" width="16" style="158" customWidth="1"/>
    <col min="11" max="11" width="6.42578125" style="158" customWidth="1"/>
    <col min="12" max="12" width="15.28515625" style="158" bestFit="1" customWidth="1"/>
    <col min="13" max="13" width="15.7109375" style="158" customWidth="1"/>
    <col min="14" max="14" width="13.7109375" style="513" customWidth="1"/>
    <col min="15" max="15" width="6.85546875" style="158" hidden="1" customWidth="1"/>
    <col min="16" max="16384" width="9.140625" style="158"/>
  </cols>
  <sheetData>
    <row r="1" spans="1:25" ht="15.75">
      <c r="A1" s="150"/>
      <c r="B1" s="150"/>
      <c r="C1" s="150"/>
      <c r="D1" s="150"/>
      <c r="E1" s="150"/>
      <c r="F1" s="150"/>
      <c r="G1" s="150"/>
      <c r="H1" s="150"/>
      <c r="I1" s="963"/>
    </row>
    <row r="2" spans="1:25" ht="23.25">
      <c r="A2" s="1283" t="s">
        <v>681</v>
      </c>
      <c r="B2" s="1283"/>
      <c r="C2" s="1283"/>
      <c r="D2" s="1283"/>
      <c r="E2" s="1283"/>
      <c r="F2" s="1283"/>
      <c r="G2" s="1283"/>
      <c r="H2" s="1283"/>
      <c r="I2" s="1283"/>
      <c r="J2" s="1283"/>
    </row>
    <row r="3" spans="1:25" ht="20.25">
      <c r="A3" s="399"/>
      <c r="B3" s="399"/>
      <c r="C3" s="399"/>
      <c r="D3" s="399"/>
      <c r="E3" s="883"/>
      <c r="F3" s="883"/>
      <c r="G3" s="399"/>
      <c r="H3" s="1045"/>
      <c r="I3" s="399"/>
    </row>
    <row r="4" spans="1:25" s="138" customFormat="1" ht="16.5" customHeight="1">
      <c r="A4" s="1270"/>
      <c r="B4" s="1270"/>
      <c r="C4" s="1270"/>
      <c r="D4" s="1270"/>
      <c r="E4" s="1270"/>
      <c r="F4" s="1270"/>
      <c r="G4" s="1270"/>
      <c r="H4" s="1270"/>
      <c r="I4" s="1270"/>
      <c r="J4" s="140"/>
      <c r="K4" s="140"/>
      <c r="L4" s="140"/>
      <c r="M4" s="140"/>
      <c r="N4" s="833"/>
      <c r="O4" s="140"/>
      <c r="P4" s="140"/>
      <c r="Q4" s="140"/>
      <c r="R4" s="140"/>
      <c r="S4" s="140"/>
      <c r="T4" s="140"/>
      <c r="U4" s="140"/>
      <c r="V4" s="140"/>
    </row>
    <row r="5" spans="1:25" s="162" customFormat="1" ht="14.25" hidden="1" customHeight="1">
      <c r="A5" s="176"/>
      <c r="B5" s="176"/>
      <c r="C5" s="176"/>
      <c r="D5" s="176"/>
      <c r="E5" s="176"/>
      <c r="F5" s="176"/>
      <c r="G5" s="176"/>
      <c r="H5" s="795"/>
      <c r="J5" s="181" t="s">
        <v>682</v>
      </c>
      <c r="K5" s="4"/>
      <c r="L5" s="4"/>
      <c r="M5" s="5"/>
      <c r="N5" s="835"/>
      <c r="O5" s="161"/>
      <c r="P5" s="161"/>
      <c r="W5" s="163"/>
    </row>
    <row r="6" spans="1:25" s="162" customFormat="1" ht="21" customHeight="1">
      <c r="A6" s="1296" t="s">
        <v>0</v>
      </c>
      <c r="B6" s="1296" t="s">
        <v>858</v>
      </c>
      <c r="C6" s="1239" t="s">
        <v>1513</v>
      </c>
      <c r="D6" s="1252" t="s">
        <v>1511</v>
      </c>
      <c r="E6" s="1253"/>
      <c r="F6" s="1253"/>
      <c r="G6" s="1253"/>
      <c r="H6" s="1254"/>
      <c r="I6" s="1297" t="s">
        <v>1091</v>
      </c>
      <c r="J6" s="1232" t="s">
        <v>1519</v>
      </c>
      <c r="K6" s="4"/>
      <c r="L6" s="4"/>
      <c r="M6" s="5"/>
      <c r="N6" s="835"/>
      <c r="O6" s="161"/>
      <c r="P6" s="161"/>
      <c r="W6" s="163"/>
    </row>
    <row r="7" spans="1:25" ht="30" customHeight="1">
      <c r="A7" s="1296"/>
      <c r="B7" s="1296"/>
      <c r="C7" s="1239"/>
      <c r="D7" s="1044" t="s">
        <v>818</v>
      </c>
      <c r="E7" s="884" t="s">
        <v>1514</v>
      </c>
      <c r="F7" s="884" t="s">
        <v>1518</v>
      </c>
      <c r="G7" s="1044" t="s">
        <v>819</v>
      </c>
      <c r="H7" s="1044" t="s">
        <v>1504</v>
      </c>
      <c r="I7" s="1298"/>
      <c r="J7" s="1232"/>
      <c r="M7" s="159"/>
      <c r="N7" s="834"/>
      <c r="O7" s="159"/>
      <c r="P7" s="159"/>
      <c r="W7" s="164"/>
      <c r="X7" s="165"/>
      <c r="Y7" s="160"/>
    </row>
    <row r="8" spans="1:25" ht="16.5" customHeight="1">
      <c r="A8" s="1287" t="s">
        <v>821</v>
      </c>
      <c r="B8" s="1288"/>
      <c r="C8" s="1154">
        <f>SUM(C9:C16)</f>
        <v>622.49900000000002</v>
      </c>
      <c r="D8" s="1154">
        <f>SUM(D9:D16)</f>
        <v>700.00807099999997</v>
      </c>
      <c r="E8" s="1154">
        <f t="shared" ref="E8:F8" si="0">SUM(E9:E16)</f>
        <v>489.22900000000004</v>
      </c>
      <c r="F8" s="1154">
        <f t="shared" si="0"/>
        <v>212.22807099999989</v>
      </c>
      <c r="G8" s="1154">
        <f>SUM(G9:G16)</f>
        <v>701.45707099999993</v>
      </c>
      <c r="H8" s="1154">
        <f>SUM(H9:H16)</f>
        <v>622.49900000000002</v>
      </c>
      <c r="I8" s="1112">
        <f>SUM(I9:I16)</f>
        <v>805.74285809999992</v>
      </c>
      <c r="J8" s="1155">
        <f>SUM(J9:J16)</f>
        <v>843.44399999999996</v>
      </c>
      <c r="L8" s="1097">
        <f>SUM(L9:L16)</f>
        <v>766.40816099999995</v>
      </c>
      <c r="N8" s="513">
        <f>+D8-G8</f>
        <v>-1.4489999999999554</v>
      </c>
      <c r="P8" s="601">
        <f>+E8+F8-G8</f>
        <v>0</v>
      </c>
    </row>
    <row r="9" spans="1:25" ht="16.5" customHeight="1">
      <c r="A9" s="1028" t="s">
        <v>1</v>
      </c>
      <c r="B9" s="1028" t="s">
        <v>2</v>
      </c>
      <c r="C9" s="554">
        <v>522.16200000000003</v>
      </c>
      <c r="D9" s="1115">
        <v>597.67999999999995</v>
      </c>
      <c r="E9" s="554">
        <v>414.32100000000003</v>
      </c>
      <c r="F9" s="554">
        <f>+D9-E9</f>
        <v>183.35899999999992</v>
      </c>
      <c r="G9" s="554">
        <f>+E9+F9</f>
        <v>597.67999999999995</v>
      </c>
      <c r="H9" s="554">
        <v>522.16200000000003</v>
      </c>
      <c r="I9" s="554">
        <f>676142580/1000000+16940100/1000000</f>
        <v>693.08267999999998</v>
      </c>
      <c r="J9" s="1115">
        <v>743.62199999999996</v>
      </c>
      <c r="L9" s="1102">
        <f>648970380/1000000+15109710/1000000</f>
        <v>664.08008999999993</v>
      </c>
      <c r="M9" s="601">
        <f>+J9-L9</f>
        <v>79.54191000000003</v>
      </c>
      <c r="N9" s="513">
        <f t="shared" ref="N9:N72" si="1">+D9-G9</f>
        <v>0</v>
      </c>
      <c r="P9" s="601">
        <f t="shared" ref="P9:P84" si="2">+E9+F9-G9</f>
        <v>0</v>
      </c>
      <c r="W9" s="164"/>
      <c r="X9" s="166"/>
      <c r="Y9" s="164"/>
    </row>
    <row r="10" spans="1:25" ht="16.5" customHeight="1">
      <c r="A10" s="1028" t="s">
        <v>3</v>
      </c>
      <c r="B10" s="1028" t="s">
        <v>4</v>
      </c>
      <c r="C10" s="554">
        <v>1.2989999999999999</v>
      </c>
      <c r="D10" s="1102">
        <v>0.77700000000000002</v>
      </c>
      <c r="E10" s="554">
        <v>1.431</v>
      </c>
      <c r="F10" s="554">
        <f>0.265*3</f>
        <v>0.79500000000000004</v>
      </c>
      <c r="G10" s="554">
        <f t="shared" ref="G10:G15" si="3">+E10+F10</f>
        <v>2.226</v>
      </c>
      <c r="H10" s="554">
        <v>1.2989999999999999</v>
      </c>
      <c r="I10" s="554">
        <f>954000/1000000</f>
        <v>0.95399999999999996</v>
      </c>
      <c r="J10" s="1102">
        <v>2.6230000000000002</v>
      </c>
      <c r="L10" s="1102">
        <f>777000/1000000</f>
        <v>0.77700000000000002</v>
      </c>
      <c r="M10" s="601">
        <f t="shared" ref="M10:M74" si="4">+J10-L10</f>
        <v>1.8460000000000001</v>
      </c>
      <c r="N10" s="513">
        <f t="shared" si="1"/>
        <v>-1.4489999999999998</v>
      </c>
      <c r="P10" s="601">
        <f t="shared" si="2"/>
        <v>0</v>
      </c>
      <c r="X10" s="166"/>
      <c r="Y10" s="164"/>
    </row>
    <row r="11" spans="1:25" ht="16.5" hidden="1" customHeight="1">
      <c r="A11" s="1028" t="s">
        <v>5</v>
      </c>
      <c r="B11" s="1028" t="s">
        <v>6</v>
      </c>
      <c r="C11" s="554"/>
      <c r="D11" s="1102"/>
      <c r="E11" s="554"/>
      <c r="F11" s="554">
        <f t="shared" ref="F11:F15" si="5">+D11-E11</f>
        <v>0</v>
      </c>
      <c r="G11" s="554">
        <f t="shared" si="3"/>
        <v>0</v>
      </c>
      <c r="H11" s="554"/>
      <c r="I11" s="554"/>
      <c r="J11" s="1102"/>
      <c r="L11" s="1102"/>
      <c r="M11" s="601">
        <f t="shared" si="4"/>
        <v>0</v>
      </c>
      <c r="N11" s="513">
        <f t="shared" si="1"/>
        <v>0</v>
      </c>
      <c r="P11" s="601">
        <f t="shared" si="2"/>
        <v>0</v>
      </c>
      <c r="X11" s="166"/>
      <c r="Y11" s="164"/>
    </row>
    <row r="12" spans="1:25" ht="16.5" hidden="1" customHeight="1">
      <c r="A12" s="1028" t="s">
        <v>7</v>
      </c>
      <c r="B12" s="1028" t="s">
        <v>8</v>
      </c>
      <c r="C12" s="554"/>
      <c r="D12" s="1102"/>
      <c r="E12" s="554"/>
      <c r="F12" s="554">
        <f t="shared" si="5"/>
        <v>0</v>
      </c>
      <c r="G12" s="554">
        <f t="shared" si="3"/>
        <v>0</v>
      </c>
      <c r="H12" s="554"/>
      <c r="I12" s="554"/>
      <c r="J12" s="1102"/>
      <c r="L12" s="1102"/>
      <c r="M12" s="601">
        <f t="shared" si="4"/>
        <v>0</v>
      </c>
      <c r="N12" s="513">
        <f t="shared" si="1"/>
        <v>0</v>
      </c>
      <c r="P12" s="601">
        <f t="shared" si="2"/>
        <v>0</v>
      </c>
      <c r="X12" s="166"/>
      <c r="Y12" s="164"/>
    </row>
    <row r="13" spans="1:25" ht="16.5" hidden="1" customHeight="1">
      <c r="A13" s="1028" t="s">
        <v>9</v>
      </c>
      <c r="B13" s="1028" t="s">
        <v>10</v>
      </c>
      <c r="C13" s="554"/>
      <c r="D13" s="1102"/>
      <c r="E13" s="554"/>
      <c r="F13" s="554">
        <f t="shared" si="5"/>
        <v>0</v>
      </c>
      <c r="G13" s="554">
        <f t="shared" si="3"/>
        <v>0</v>
      </c>
      <c r="H13" s="554"/>
      <c r="I13" s="554"/>
      <c r="J13" s="1102"/>
      <c r="L13" s="1102"/>
      <c r="M13" s="601">
        <f t="shared" si="4"/>
        <v>0</v>
      </c>
      <c r="N13" s="513">
        <f t="shared" si="1"/>
        <v>0</v>
      </c>
      <c r="O13" s="513">
        <f>G9*0.33+G10*0.33+G18*0.33+G27*0.33</f>
        <v>335.21228399999995</v>
      </c>
      <c r="P13" s="601">
        <f t="shared" si="2"/>
        <v>0</v>
      </c>
      <c r="X13" s="164"/>
      <c r="Y13" s="164"/>
    </row>
    <row r="14" spans="1:25" ht="16.5" hidden="1" customHeight="1">
      <c r="A14" s="1028" t="s">
        <v>11</v>
      </c>
      <c r="B14" s="1028" t="s">
        <v>12</v>
      </c>
      <c r="C14" s="554"/>
      <c r="D14" s="1102"/>
      <c r="E14" s="554"/>
      <c r="F14" s="554">
        <f t="shared" si="5"/>
        <v>0</v>
      </c>
      <c r="G14" s="554">
        <f t="shared" si="3"/>
        <v>0</v>
      </c>
      <c r="H14" s="554"/>
      <c r="I14" s="554"/>
      <c r="J14" s="1102"/>
      <c r="L14" s="1102"/>
      <c r="M14" s="601">
        <f t="shared" si="4"/>
        <v>0</v>
      </c>
      <c r="N14" s="513">
        <f t="shared" si="1"/>
        <v>0</v>
      </c>
      <c r="O14" s="513">
        <f>I9*0.33+I10*0.33+I18*0.33+I27*0.33</f>
        <v>371.10514320000004</v>
      </c>
      <c r="P14" s="601">
        <f t="shared" si="2"/>
        <v>0</v>
      </c>
    </row>
    <row r="15" spans="1:25" ht="16.5" customHeight="1">
      <c r="A15" s="1028" t="s">
        <v>13</v>
      </c>
      <c r="B15" s="1028" t="s">
        <v>14</v>
      </c>
      <c r="C15" s="554">
        <v>99.037999999999997</v>
      </c>
      <c r="D15" s="1102">
        <v>101.55107099999999</v>
      </c>
      <c r="E15" s="554">
        <v>73.477000000000004</v>
      </c>
      <c r="F15" s="554">
        <f t="shared" si="5"/>
        <v>28.074070999999989</v>
      </c>
      <c r="G15" s="554">
        <f t="shared" si="3"/>
        <v>101.55107099999999</v>
      </c>
      <c r="H15" s="554">
        <v>99.037999999999997</v>
      </c>
      <c r="I15" s="554">
        <f>G15*1.1</f>
        <v>111.7061781</v>
      </c>
      <c r="J15" s="1102">
        <v>97.198999999999998</v>
      </c>
      <c r="L15" s="1102">
        <f>101551071/1000000</f>
        <v>101.55107099999999</v>
      </c>
      <c r="M15" s="601">
        <f t="shared" si="4"/>
        <v>-4.3520709999999951</v>
      </c>
      <c r="N15" s="513">
        <f t="shared" si="1"/>
        <v>0</v>
      </c>
      <c r="P15" s="601">
        <f t="shared" si="2"/>
        <v>0</v>
      </c>
    </row>
    <row r="16" spans="1:25" ht="16.5" hidden="1" customHeight="1">
      <c r="A16" s="986" t="s">
        <v>15</v>
      </c>
      <c r="B16" s="987" t="s">
        <v>16</v>
      </c>
      <c r="C16" s="1057"/>
      <c r="D16" s="988"/>
      <c r="E16" s="988"/>
      <c r="F16" s="988"/>
      <c r="G16" s="988"/>
      <c r="H16" s="1057"/>
      <c r="I16" s="1152"/>
      <c r="J16" s="1153"/>
      <c r="L16" s="1102"/>
      <c r="M16" s="601">
        <f t="shared" si="4"/>
        <v>0</v>
      </c>
      <c r="N16" s="513">
        <f t="shared" si="1"/>
        <v>0</v>
      </c>
      <c r="P16" s="601">
        <f t="shared" si="2"/>
        <v>0</v>
      </c>
    </row>
    <row r="17" spans="1:16" ht="16.5" customHeight="1">
      <c r="A17" s="1289" t="s">
        <v>823</v>
      </c>
      <c r="B17" s="1290"/>
      <c r="C17" s="1156">
        <f>SUM(C18:C23)</f>
        <v>359.791</v>
      </c>
      <c r="D17" s="1156">
        <f>SUM(D18:D23)</f>
        <v>413.10675000000003</v>
      </c>
      <c r="E17" s="1156">
        <f t="shared" ref="E17:F17" si="6">SUM(E18:E23)</f>
        <v>257.33600000000001</v>
      </c>
      <c r="F17" s="1156">
        <f t="shared" si="6"/>
        <v>155.77075000000002</v>
      </c>
      <c r="G17" s="1156">
        <f>SUM(G18:G23)</f>
        <v>413.10675000000003</v>
      </c>
      <c r="H17" s="1156">
        <f>SUM(H18:H23)</f>
        <v>359.791</v>
      </c>
      <c r="I17" s="1157">
        <f>SUM(I18:I23)</f>
        <v>427.45805999999999</v>
      </c>
      <c r="J17" s="1155">
        <f>SUM(J18:J23)</f>
        <v>414.04599999999999</v>
      </c>
      <c r="L17" s="1097">
        <f>SUM(L18:L23)</f>
        <v>413.10675000000003</v>
      </c>
      <c r="M17" s="601">
        <f t="shared" si="4"/>
        <v>0.93924999999995862</v>
      </c>
      <c r="N17" s="513">
        <f t="shared" si="1"/>
        <v>0</v>
      </c>
      <c r="P17" s="601">
        <f t="shared" si="2"/>
        <v>0</v>
      </c>
    </row>
    <row r="18" spans="1:16" ht="16.5" customHeight="1">
      <c r="A18" s="1028" t="s">
        <v>17</v>
      </c>
      <c r="B18" s="1028" t="s">
        <v>2</v>
      </c>
      <c r="C18" s="1080">
        <v>359.791</v>
      </c>
      <c r="D18" s="1102">
        <v>413.10675000000003</v>
      </c>
      <c r="E18" s="1080">
        <v>257.33600000000001</v>
      </c>
      <c r="F18" s="554">
        <f>+D18-E18</f>
        <v>155.77075000000002</v>
      </c>
      <c r="G18" s="554">
        <f>+E18+F18</f>
        <v>413.10675000000003</v>
      </c>
      <c r="H18" s="1080">
        <v>359.791</v>
      </c>
      <c r="I18" s="554">
        <f>427458060/1000000</f>
        <v>427.45805999999999</v>
      </c>
      <c r="J18" s="1102">
        <v>414.04599999999999</v>
      </c>
      <c r="L18" s="1102">
        <f>405368940/1000000+7737810/1000000</f>
        <v>413.10675000000003</v>
      </c>
      <c r="M18" s="601">
        <f t="shared" si="4"/>
        <v>0.93924999999995862</v>
      </c>
      <c r="N18" s="513">
        <f t="shared" si="1"/>
        <v>0</v>
      </c>
      <c r="P18" s="601">
        <f t="shared" si="2"/>
        <v>0</v>
      </c>
    </row>
    <row r="19" spans="1:16">
      <c r="A19" s="1028" t="s">
        <v>18</v>
      </c>
      <c r="B19" s="1028" t="s">
        <v>4</v>
      </c>
      <c r="C19" s="1080"/>
      <c r="D19" s="1080"/>
      <c r="E19" s="1080"/>
      <c r="F19" s="1080"/>
      <c r="G19" s="1080"/>
      <c r="H19" s="1080"/>
      <c r="I19" s="554"/>
      <c r="J19" s="1102"/>
      <c r="L19" s="1102"/>
      <c r="M19" s="601">
        <f t="shared" si="4"/>
        <v>0</v>
      </c>
      <c r="N19" s="513">
        <f t="shared" si="1"/>
        <v>0</v>
      </c>
      <c r="P19" s="601">
        <f t="shared" si="2"/>
        <v>0</v>
      </c>
    </row>
    <row r="20" spans="1:16" hidden="1">
      <c r="A20" s="986" t="s">
        <v>19</v>
      </c>
      <c r="B20" s="987" t="s">
        <v>6</v>
      </c>
      <c r="C20" s="1158"/>
      <c r="D20" s="1159"/>
      <c r="E20" s="1159"/>
      <c r="F20" s="1159"/>
      <c r="G20" s="1159"/>
      <c r="H20" s="1158"/>
      <c r="I20" s="1152"/>
      <c r="J20" s="1153"/>
      <c r="L20" s="1102"/>
      <c r="M20" s="601">
        <f t="shared" si="4"/>
        <v>0</v>
      </c>
      <c r="N20" s="513">
        <f t="shared" si="1"/>
        <v>0</v>
      </c>
      <c r="P20" s="601">
        <f t="shared" si="2"/>
        <v>0</v>
      </c>
    </row>
    <row r="21" spans="1:16" hidden="1">
      <c r="A21" s="167" t="s">
        <v>20</v>
      </c>
      <c r="B21" s="168" t="s">
        <v>10</v>
      </c>
      <c r="C21" s="1051"/>
      <c r="D21" s="507"/>
      <c r="E21" s="507"/>
      <c r="F21" s="507"/>
      <c r="G21" s="507"/>
      <c r="H21" s="1051"/>
      <c r="I21" s="504"/>
      <c r="J21" s="1102"/>
      <c r="L21" s="1102"/>
      <c r="M21" s="601">
        <f t="shared" si="4"/>
        <v>0</v>
      </c>
      <c r="N21" s="513">
        <f t="shared" si="1"/>
        <v>0</v>
      </c>
      <c r="P21" s="601">
        <f t="shared" si="2"/>
        <v>0</v>
      </c>
    </row>
    <row r="22" spans="1:16" hidden="1">
      <c r="A22" s="167" t="s">
        <v>21</v>
      </c>
      <c r="B22" s="168" t="s">
        <v>12</v>
      </c>
      <c r="C22" s="1051"/>
      <c r="D22" s="507"/>
      <c r="E22" s="507"/>
      <c r="F22" s="507"/>
      <c r="G22" s="507"/>
      <c r="H22" s="1051"/>
      <c r="I22" s="504"/>
      <c r="J22" s="1102"/>
      <c r="L22" s="1102"/>
      <c r="M22" s="601">
        <f t="shared" si="4"/>
        <v>0</v>
      </c>
      <c r="N22" s="513">
        <f t="shared" si="1"/>
        <v>0</v>
      </c>
      <c r="P22" s="601">
        <f t="shared" si="2"/>
        <v>0</v>
      </c>
    </row>
    <row r="23" spans="1:16" hidden="1">
      <c r="A23" s="167" t="s">
        <v>22</v>
      </c>
      <c r="B23" s="168" t="s">
        <v>16</v>
      </c>
      <c r="C23" s="1051"/>
      <c r="D23" s="507"/>
      <c r="E23" s="507"/>
      <c r="F23" s="507"/>
      <c r="G23" s="507"/>
      <c r="H23" s="1051"/>
      <c r="I23" s="504"/>
      <c r="J23" s="1102"/>
      <c r="L23" s="1102"/>
      <c r="M23" s="601">
        <f t="shared" si="4"/>
        <v>0</v>
      </c>
      <c r="N23" s="513">
        <f t="shared" si="1"/>
        <v>0</v>
      </c>
      <c r="P23" s="601">
        <f t="shared" si="2"/>
        <v>0</v>
      </c>
    </row>
    <row r="24" spans="1:16" ht="15.75">
      <c r="A24" s="1291" t="s">
        <v>23</v>
      </c>
      <c r="B24" s="1292"/>
      <c r="C24" s="508">
        <f>C17+C8</f>
        <v>982.29</v>
      </c>
      <c r="D24" s="508">
        <f>D17+D8</f>
        <v>1113.1148210000001</v>
      </c>
      <c r="E24" s="508">
        <f t="shared" ref="E24:F24" si="7">E17+E8</f>
        <v>746.56500000000005</v>
      </c>
      <c r="F24" s="508">
        <f t="shared" si="7"/>
        <v>367.99882099999991</v>
      </c>
      <c r="G24" s="508">
        <f>G17+G8</f>
        <v>1114.563821</v>
      </c>
      <c r="H24" s="508">
        <f>H17+H8</f>
        <v>982.29</v>
      </c>
      <c r="I24" s="509">
        <f>I17+I8</f>
        <v>1233.2009180999999</v>
      </c>
      <c r="J24" s="1098">
        <f>J17+J8</f>
        <v>1257.49</v>
      </c>
      <c r="L24" s="1098">
        <f>L17+L8</f>
        <v>1179.514911</v>
      </c>
      <c r="M24" s="601">
        <f t="shared" si="4"/>
        <v>77.975089000000025</v>
      </c>
      <c r="N24" s="513">
        <f t="shared" si="1"/>
        <v>-1.4489999999998417</v>
      </c>
      <c r="P24" s="601">
        <f t="shared" si="2"/>
        <v>0</v>
      </c>
    </row>
    <row r="25" spans="1:16" ht="6" customHeight="1">
      <c r="A25" s="1280"/>
      <c r="B25" s="1281"/>
      <c r="C25" s="1281"/>
      <c r="D25" s="1281"/>
      <c r="E25" s="1281"/>
      <c r="F25" s="1281"/>
      <c r="G25" s="1281"/>
      <c r="H25" s="1281"/>
      <c r="I25" s="1282"/>
      <c r="J25" s="513"/>
      <c r="L25" s="513"/>
      <c r="M25" s="601">
        <f t="shared" si="4"/>
        <v>0</v>
      </c>
      <c r="N25" s="513">
        <f t="shared" si="1"/>
        <v>0</v>
      </c>
      <c r="P25" s="601">
        <f t="shared" si="2"/>
        <v>0</v>
      </c>
    </row>
    <row r="26" spans="1:16" ht="21.95" customHeight="1">
      <c r="A26" s="1289" t="s">
        <v>822</v>
      </c>
      <c r="B26" s="1290"/>
      <c r="C26" s="1156">
        <v>361.05300000000005</v>
      </c>
      <c r="D26" s="1156">
        <v>484.602936</v>
      </c>
      <c r="E26" s="1156">
        <v>317.34200000000004</v>
      </c>
      <c r="F26" s="1156">
        <v>167.99193600000001</v>
      </c>
      <c r="G26" s="1156">
        <v>485.33393599999999</v>
      </c>
      <c r="H26" s="1156">
        <v>361.04900000000004</v>
      </c>
      <c r="I26" s="1157">
        <v>486.73891799999996</v>
      </c>
      <c r="J26" s="1155">
        <v>592.32999999999993</v>
      </c>
      <c r="L26" s="1097">
        <f t="shared" ref="L26" si="8">SUM(L27:L41)</f>
        <v>528.29757299999994</v>
      </c>
      <c r="M26" s="601">
        <f t="shared" si="4"/>
        <v>64.032426999999984</v>
      </c>
      <c r="N26" s="513">
        <f t="shared" si="1"/>
        <v>-0.73099999999999454</v>
      </c>
      <c r="P26" s="601">
        <f t="shared" si="2"/>
        <v>0</v>
      </c>
    </row>
    <row r="27" spans="1:16" ht="16.5" customHeight="1">
      <c r="A27" s="1028" t="s">
        <v>24</v>
      </c>
      <c r="B27" s="1028" t="s">
        <v>25</v>
      </c>
      <c r="C27" s="554">
        <v>1.9590000000000001</v>
      </c>
      <c r="D27" s="1102">
        <v>2.7820499999999999</v>
      </c>
      <c r="E27" s="554">
        <v>1.4379999999999999</v>
      </c>
      <c r="F27" s="554">
        <v>1.34405</v>
      </c>
      <c r="G27" s="554">
        <v>2.7820499999999999</v>
      </c>
      <c r="H27" s="554">
        <v>1.9590000000000001</v>
      </c>
      <c r="I27" s="554">
        <v>3.0663</v>
      </c>
      <c r="J27" s="1102">
        <v>3.1720000000000002</v>
      </c>
      <c r="L27" s="1102">
        <f>2782050/1000000</f>
        <v>2.7820499999999999</v>
      </c>
      <c r="M27" s="601">
        <f t="shared" si="4"/>
        <v>0.38995000000000024</v>
      </c>
      <c r="N27" s="513">
        <f t="shared" si="1"/>
        <v>0</v>
      </c>
      <c r="P27" s="601">
        <f t="shared" si="2"/>
        <v>0</v>
      </c>
    </row>
    <row r="28" spans="1:16" ht="16.5" customHeight="1">
      <c r="A28" s="1028" t="s">
        <v>26</v>
      </c>
      <c r="B28" s="1028" t="s">
        <v>27</v>
      </c>
      <c r="C28" s="554">
        <v>40.417999999999999</v>
      </c>
      <c r="D28" s="1115">
        <v>55</v>
      </c>
      <c r="E28" s="554">
        <v>32.875</v>
      </c>
      <c r="F28" s="554">
        <v>22.125</v>
      </c>
      <c r="G28" s="554">
        <v>55</v>
      </c>
      <c r="H28" s="554">
        <v>40.417999999999999</v>
      </c>
      <c r="I28" s="554">
        <v>74.577365999999998</v>
      </c>
      <c r="J28" s="1115">
        <v>71.114000000000004</v>
      </c>
      <c r="L28" s="1102">
        <f>65167290/1000000</f>
        <v>65.167289999999994</v>
      </c>
      <c r="M28" s="601">
        <f t="shared" si="4"/>
        <v>5.9467100000000102</v>
      </c>
      <c r="N28" s="513">
        <f t="shared" si="1"/>
        <v>0</v>
      </c>
      <c r="P28" s="601">
        <f t="shared" si="2"/>
        <v>0</v>
      </c>
    </row>
    <row r="29" spans="1:16" ht="16.5" customHeight="1">
      <c r="A29" s="1028" t="s">
        <v>28</v>
      </c>
      <c r="B29" s="1028" t="s">
        <v>29</v>
      </c>
      <c r="C29" s="554">
        <v>76.849999999999994</v>
      </c>
      <c r="D29" s="1115">
        <v>80</v>
      </c>
      <c r="E29" s="554">
        <v>58.152999999999999</v>
      </c>
      <c r="F29" s="554">
        <v>21.847000000000001</v>
      </c>
      <c r="G29" s="554">
        <v>80</v>
      </c>
      <c r="H29" s="554">
        <v>76.849999999999994</v>
      </c>
      <c r="I29" s="554">
        <v>100.16977799999999</v>
      </c>
      <c r="J29" s="1115">
        <v>100.935</v>
      </c>
      <c r="L29" s="1102">
        <f>87037593/1000000+7344000/1000000</f>
        <v>94.381592999999995</v>
      </c>
      <c r="M29" s="601">
        <f t="shared" si="4"/>
        <v>6.5534070000000071</v>
      </c>
      <c r="N29" s="513">
        <f t="shared" si="1"/>
        <v>0</v>
      </c>
      <c r="P29" s="601">
        <f t="shared" si="2"/>
        <v>0</v>
      </c>
    </row>
    <row r="30" spans="1:16" ht="16.5" customHeight="1">
      <c r="A30" s="1028" t="s">
        <v>30</v>
      </c>
      <c r="B30" s="1028" t="s">
        <v>1418</v>
      </c>
      <c r="C30" s="554">
        <v>0.57499999999999996</v>
      </c>
      <c r="D30" s="1102"/>
      <c r="E30" s="554">
        <v>0.623</v>
      </c>
      <c r="F30" s="554">
        <v>0.10799999999999998</v>
      </c>
      <c r="G30" s="554">
        <v>0.73099999999999998</v>
      </c>
      <c r="H30" s="554">
        <v>0.57099999999999995</v>
      </c>
      <c r="I30" s="554">
        <v>1.5</v>
      </c>
      <c r="J30" s="1102">
        <v>0.97199999999999998</v>
      </c>
      <c r="L30" s="1102"/>
      <c r="M30" s="601">
        <f t="shared" si="4"/>
        <v>0.97199999999999998</v>
      </c>
      <c r="N30" s="513">
        <f t="shared" si="1"/>
        <v>-0.73099999999999998</v>
      </c>
      <c r="P30" s="601">
        <f t="shared" si="2"/>
        <v>0</v>
      </c>
    </row>
    <row r="31" spans="1:16" ht="16.5" hidden="1" customHeight="1">
      <c r="A31" s="1028" t="s">
        <v>32</v>
      </c>
      <c r="B31" s="1028" t="s">
        <v>33</v>
      </c>
      <c r="C31" s="554"/>
      <c r="D31" s="1102"/>
      <c r="E31" s="554"/>
      <c r="F31" s="554">
        <v>0</v>
      </c>
      <c r="G31" s="554">
        <v>0</v>
      </c>
      <c r="H31" s="554"/>
      <c r="I31" s="554"/>
      <c r="J31" s="1102"/>
      <c r="L31" s="1102"/>
      <c r="M31" s="601">
        <f t="shared" si="4"/>
        <v>0</v>
      </c>
      <c r="N31" s="513">
        <f t="shared" si="1"/>
        <v>0</v>
      </c>
      <c r="P31" s="601">
        <f t="shared" si="2"/>
        <v>0</v>
      </c>
    </row>
    <row r="32" spans="1:16" ht="16.5" hidden="1" customHeight="1">
      <c r="A32" s="1028" t="s">
        <v>34</v>
      </c>
      <c r="B32" s="1028" t="s">
        <v>35</v>
      </c>
      <c r="C32" s="554"/>
      <c r="D32" s="1102"/>
      <c r="E32" s="554"/>
      <c r="F32" s="554">
        <v>0</v>
      </c>
      <c r="G32" s="554">
        <v>0</v>
      </c>
      <c r="H32" s="554"/>
      <c r="I32" s="554"/>
      <c r="J32" s="1102"/>
      <c r="L32" s="1102"/>
      <c r="M32" s="601">
        <f t="shared" si="4"/>
        <v>0</v>
      </c>
      <c r="N32" s="513">
        <f t="shared" si="1"/>
        <v>0</v>
      </c>
      <c r="P32" s="601">
        <f t="shared" si="2"/>
        <v>0</v>
      </c>
    </row>
    <row r="33" spans="1:16" ht="16.5" customHeight="1">
      <c r="A33" s="1028" t="s">
        <v>1076</v>
      </c>
      <c r="B33" s="1028" t="s">
        <v>1077</v>
      </c>
      <c r="C33" s="554">
        <v>3.1E-2</v>
      </c>
      <c r="D33" s="1102"/>
      <c r="E33" s="554"/>
      <c r="F33" s="554">
        <v>0</v>
      </c>
      <c r="G33" s="554">
        <v>0</v>
      </c>
      <c r="H33" s="554">
        <v>3.1E-2</v>
      </c>
      <c r="I33" s="554"/>
      <c r="J33" s="1102"/>
      <c r="L33" s="1102"/>
      <c r="M33" s="601">
        <f t="shared" si="4"/>
        <v>0</v>
      </c>
      <c r="N33" s="513">
        <f t="shared" si="1"/>
        <v>0</v>
      </c>
      <c r="P33" s="601">
        <f t="shared" si="2"/>
        <v>0</v>
      </c>
    </row>
    <row r="34" spans="1:16" ht="16.5" customHeight="1">
      <c r="A34" s="1028" t="s">
        <v>1132</v>
      </c>
      <c r="B34" s="1028" t="s">
        <v>1133</v>
      </c>
      <c r="C34" s="554">
        <v>8.2000000000000003E-2</v>
      </c>
      <c r="D34" s="1102"/>
      <c r="E34" s="554"/>
      <c r="F34" s="554">
        <v>0</v>
      </c>
      <c r="G34" s="554">
        <v>0</v>
      </c>
      <c r="H34" s="554">
        <v>8.2000000000000003E-2</v>
      </c>
      <c r="I34" s="554"/>
      <c r="J34" s="1102"/>
      <c r="L34" s="1102"/>
      <c r="M34" s="601">
        <f t="shared" si="4"/>
        <v>0</v>
      </c>
      <c r="N34" s="513">
        <f t="shared" si="1"/>
        <v>0</v>
      </c>
      <c r="P34" s="601">
        <f t="shared" si="2"/>
        <v>0</v>
      </c>
    </row>
    <row r="35" spans="1:16" ht="16.5" hidden="1" customHeight="1">
      <c r="A35" s="1028" t="s">
        <v>824</v>
      </c>
      <c r="B35" s="1028" t="s">
        <v>1075</v>
      </c>
      <c r="C35" s="554"/>
      <c r="D35" s="1102"/>
      <c r="E35" s="554"/>
      <c r="F35" s="554">
        <v>0</v>
      </c>
      <c r="G35" s="554">
        <v>0</v>
      </c>
      <c r="H35" s="554"/>
      <c r="I35" s="554"/>
      <c r="J35" s="1102"/>
      <c r="L35" s="1102"/>
      <c r="M35" s="601">
        <f t="shared" si="4"/>
        <v>0</v>
      </c>
      <c r="N35" s="513">
        <f t="shared" si="1"/>
        <v>0</v>
      </c>
      <c r="P35" s="601">
        <f t="shared" si="2"/>
        <v>0</v>
      </c>
    </row>
    <row r="36" spans="1:16" ht="16.5" customHeight="1">
      <c r="A36" s="1028" t="s">
        <v>1005</v>
      </c>
      <c r="B36" s="1028" t="s">
        <v>1073</v>
      </c>
      <c r="C36" s="554">
        <v>68.787999999999997</v>
      </c>
      <c r="D36" s="1102">
        <v>81.311261999999999</v>
      </c>
      <c r="E36" s="554">
        <v>50.895000000000003</v>
      </c>
      <c r="F36" s="554">
        <v>30.416261999999996</v>
      </c>
      <c r="G36" s="554">
        <v>81.311261999999999</v>
      </c>
      <c r="H36" s="554">
        <v>68.787999999999997</v>
      </c>
      <c r="I36" s="554">
        <v>84.704958000000005</v>
      </c>
      <c r="J36" s="1102">
        <v>84.688999999999993</v>
      </c>
      <c r="L36" s="1102">
        <f>81311262/1000000</f>
        <v>81.311261999999999</v>
      </c>
      <c r="M36" s="601">
        <f t="shared" si="4"/>
        <v>3.3777379999999937</v>
      </c>
      <c r="N36" s="513">
        <f t="shared" si="1"/>
        <v>0</v>
      </c>
      <c r="P36" s="601">
        <f t="shared" si="2"/>
        <v>0</v>
      </c>
    </row>
    <row r="37" spans="1:16" ht="16.5" customHeight="1">
      <c r="A37" s="1028" t="s">
        <v>1006</v>
      </c>
      <c r="B37" s="1028" t="s">
        <v>1074</v>
      </c>
      <c r="C37" s="554">
        <v>87.635000000000005</v>
      </c>
      <c r="D37" s="1102">
        <v>104.902674</v>
      </c>
      <c r="E37" s="554">
        <v>67.456999999999994</v>
      </c>
      <c r="F37" s="554">
        <v>37.445674000000011</v>
      </c>
      <c r="G37" s="554">
        <v>104.902674</v>
      </c>
      <c r="H37" s="554">
        <v>87.635000000000005</v>
      </c>
      <c r="I37" s="554">
        <v>108.972408</v>
      </c>
      <c r="J37" s="1102">
        <v>113.48099999999999</v>
      </c>
      <c r="L37" s="1102">
        <f>104902674/1000000</f>
        <v>104.902674</v>
      </c>
      <c r="M37" s="601">
        <f t="shared" si="4"/>
        <v>8.5783259999999899</v>
      </c>
      <c r="N37" s="513">
        <f t="shared" si="1"/>
        <v>0</v>
      </c>
      <c r="P37" s="601">
        <f t="shared" si="2"/>
        <v>0</v>
      </c>
    </row>
    <row r="38" spans="1:16" ht="16.5" customHeight="1">
      <c r="A38" s="1028" t="s">
        <v>1115</v>
      </c>
      <c r="B38" s="1028" t="s">
        <v>1114</v>
      </c>
      <c r="C38" s="554">
        <v>80.031000000000006</v>
      </c>
      <c r="D38" s="1115">
        <v>100</v>
      </c>
      <c r="E38" s="554">
        <v>67.143000000000001</v>
      </c>
      <c r="F38" s="554">
        <v>32.856999999999999</v>
      </c>
      <c r="G38" s="554">
        <v>100</v>
      </c>
      <c r="H38" s="554">
        <v>80.031000000000006</v>
      </c>
      <c r="I38" s="554">
        <v>108.972408</v>
      </c>
      <c r="J38" s="1115">
        <v>113.48099999999999</v>
      </c>
      <c r="L38" s="1102">
        <f>108986796/1000000</f>
        <v>108.986796</v>
      </c>
      <c r="M38" s="601">
        <f t="shared" si="4"/>
        <v>4.4942039999999963</v>
      </c>
      <c r="N38" s="513">
        <f t="shared" si="1"/>
        <v>0</v>
      </c>
      <c r="P38" s="601">
        <f t="shared" si="2"/>
        <v>0</v>
      </c>
    </row>
    <row r="39" spans="1:16" ht="16.5" customHeight="1">
      <c r="A39" s="1028" t="s">
        <v>1506</v>
      </c>
      <c r="B39" s="1028" t="s">
        <v>1507</v>
      </c>
      <c r="C39" s="554"/>
      <c r="D39" s="1115">
        <v>56</v>
      </c>
      <c r="E39" s="554">
        <v>35.323999999999998</v>
      </c>
      <c r="F39" s="554">
        <v>20.676000000000002</v>
      </c>
      <c r="G39" s="554">
        <v>56</v>
      </c>
      <c r="H39" s="554"/>
      <c r="I39" s="554"/>
      <c r="J39" s="1115">
        <v>99.816000000000003</v>
      </c>
      <c r="L39" s="1102">
        <f>66158958/1000000</f>
        <v>66.158957999999998</v>
      </c>
      <c r="M39" s="601">
        <f t="shared" si="4"/>
        <v>33.657042000000004</v>
      </c>
      <c r="N39" s="513">
        <f t="shared" si="1"/>
        <v>0</v>
      </c>
      <c r="P39" s="601"/>
    </row>
    <row r="40" spans="1:16" ht="16.5" customHeight="1">
      <c r="A40" s="1028" t="s">
        <v>36</v>
      </c>
      <c r="B40" s="1028" t="s">
        <v>37</v>
      </c>
      <c r="C40" s="554">
        <v>4.6840000000000002</v>
      </c>
      <c r="D40" s="1102">
        <v>4.6069500000000003</v>
      </c>
      <c r="E40" s="554">
        <v>3.4340000000000002</v>
      </c>
      <c r="F40" s="554">
        <v>1.1729500000000002</v>
      </c>
      <c r="G40" s="554">
        <v>4.6069500000000003</v>
      </c>
      <c r="H40" s="554">
        <v>4.6840000000000002</v>
      </c>
      <c r="I40" s="554">
        <v>4.7756999999999996</v>
      </c>
      <c r="J40" s="1102">
        <v>4.67</v>
      </c>
      <c r="L40" s="1102">
        <f>4606950/1000000</f>
        <v>4.6069500000000003</v>
      </c>
      <c r="M40" s="601">
        <f t="shared" si="4"/>
        <v>6.3049999999999606E-2</v>
      </c>
      <c r="N40" s="513">
        <f t="shared" si="1"/>
        <v>0</v>
      </c>
      <c r="P40" s="601">
        <f t="shared" si="2"/>
        <v>0</v>
      </c>
    </row>
    <row r="41" spans="1:16" ht="16.5" hidden="1" customHeight="1">
      <c r="A41" s="986" t="s">
        <v>38</v>
      </c>
      <c r="B41" s="987" t="s">
        <v>39</v>
      </c>
      <c r="C41" s="1057"/>
      <c r="D41" s="988"/>
      <c r="E41" s="988"/>
      <c r="F41" s="988"/>
      <c r="G41" s="988"/>
      <c r="H41" s="1057"/>
      <c r="I41" s="1152"/>
      <c r="J41" s="1153"/>
      <c r="L41" s="1102"/>
      <c r="M41" s="601">
        <f t="shared" si="4"/>
        <v>0</v>
      </c>
      <c r="N41" s="513">
        <f t="shared" si="1"/>
        <v>0</v>
      </c>
      <c r="P41" s="601">
        <f t="shared" si="2"/>
        <v>0</v>
      </c>
    </row>
    <row r="42" spans="1:16" s="396" customFormat="1" ht="20.100000000000001" customHeight="1">
      <c r="A42" s="1293" t="s">
        <v>74</v>
      </c>
      <c r="B42" s="1294"/>
      <c r="C42" s="505">
        <v>224.37899999999999</v>
      </c>
      <c r="D42" s="505">
        <v>261.13002599999999</v>
      </c>
      <c r="E42" s="505">
        <v>180.7</v>
      </c>
      <c r="F42" s="505">
        <v>87.710025999999985</v>
      </c>
      <c r="G42" s="505">
        <v>268.41002599999996</v>
      </c>
      <c r="H42" s="505">
        <v>224.37899999999999</v>
      </c>
      <c r="I42" s="506">
        <v>280.28585000000004</v>
      </c>
      <c r="J42" s="1097">
        <v>288.10000000000002</v>
      </c>
      <c r="L42" s="1097">
        <f>SUM(L43:L61)</f>
        <v>270.17202599999996</v>
      </c>
      <c r="M42" s="601">
        <f t="shared" si="4"/>
        <v>17.927974000000063</v>
      </c>
      <c r="N42" s="513">
        <f t="shared" si="1"/>
        <v>-7.2799999999999727</v>
      </c>
      <c r="P42" s="601">
        <f t="shared" si="2"/>
        <v>0</v>
      </c>
    </row>
    <row r="43" spans="1:16" ht="20.100000000000001" hidden="1" customHeight="1">
      <c r="A43" s="982" t="s">
        <v>40</v>
      </c>
      <c r="B43" s="983" t="s">
        <v>41</v>
      </c>
      <c r="C43" s="1056"/>
      <c r="D43" s="984"/>
      <c r="E43" s="984"/>
      <c r="F43" s="984"/>
      <c r="G43" s="984"/>
      <c r="H43" s="1056"/>
      <c r="I43" s="1160"/>
      <c r="J43" s="513"/>
      <c r="L43" s="513"/>
      <c r="M43" s="601">
        <f t="shared" si="4"/>
        <v>0</v>
      </c>
      <c r="N43" s="513">
        <f t="shared" si="1"/>
        <v>0</v>
      </c>
      <c r="P43" s="601">
        <f t="shared" si="2"/>
        <v>0</v>
      </c>
    </row>
    <row r="44" spans="1:16" ht="25.5">
      <c r="A44" s="1028" t="s">
        <v>42</v>
      </c>
      <c r="B44" s="1028" t="s">
        <v>43</v>
      </c>
      <c r="C44" s="554">
        <v>35.405000000000001</v>
      </c>
      <c r="D44" s="1102">
        <v>38.340000000000003</v>
      </c>
      <c r="E44" s="554">
        <v>32.249000000000002</v>
      </c>
      <c r="F44" s="554">
        <v>6.0910000000000011</v>
      </c>
      <c r="G44" s="554">
        <v>38.340000000000003</v>
      </c>
      <c r="H44" s="554">
        <v>35.405000000000001</v>
      </c>
      <c r="I44" s="554">
        <v>36.71</v>
      </c>
      <c r="J44" s="1102">
        <v>40.619999999999997</v>
      </c>
      <c r="L44" s="1102">
        <f>36240000/1000000+2100000/1000000</f>
        <v>38.340000000000003</v>
      </c>
      <c r="M44" s="601">
        <f t="shared" si="4"/>
        <v>2.279999999999994</v>
      </c>
      <c r="N44" s="513">
        <f t="shared" si="1"/>
        <v>0</v>
      </c>
      <c r="P44" s="601">
        <f t="shared" si="2"/>
        <v>0</v>
      </c>
    </row>
    <row r="45" spans="1:16" ht="20.100000000000001" customHeight="1">
      <c r="A45" s="1028" t="s">
        <v>44</v>
      </c>
      <c r="B45" s="1028" t="s">
        <v>45</v>
      </c>
      <c r="C45" s="554">
        <v>161.935</v>
      </c>
      <c r="D45" s="1102">
        <v>194.31542099999999</v>
      </c>
      <c r="E45" s="554">
        <v>121.878</v>
      </c>
      <c r="F45" s="554">
        <v>72.437420999999986</v>
      </c>
      <c r="G45" s="554">
        <v>194.31542099999999</v>
      </c>
      <c r="H45" s="554">
        <v>161.935</v>
      </c>
      <c r="I45" s="554">
        <v>203.31072</v>
      </c>
      <c r="J45" s="1102">
        <v>205.87299999999999</v>
      </c>
      <c r="L45" s="1102">
        <f>194315421/1000000</f>
        <v>194.31542099999999</v>
      </c>
      <c r="M45" s="601">
        <f t="shared" si="4"/>
        <v>11.557579000000004</v>
      </c>
      <c r="N45" s="513">
        <f t="shared" si="1"/>
        <v>0</v>
      </c>
      <c r="P45" s="601">
        <f t="shared" si="2"/>
        <v>0</v>
      </c>
    </row>
    <row r="46" spans="1:16" ht="20.100000000000001" hidden="1" customHeight="1">
      <c r="A46" s="1028" t="s">
        <v>46</v>
      </c>
      <c r="B46" s="1028" t="s">
        <v>47</v>
      </c>
      <c r="C46" s="554"/>
      <c r="D46" s="1102"/>
      <c r="E46" s="554"/>
      <c r="F46" s="554">
        <v>0</v>
      </c>
      <c r="G46" s="554">
        <v>0</v>
      </c>
      <c r="H46" s="554"/>
      <c r="I46" s="554"/>
      <c r="J46" s="1102"/>
      <c r="L46" s="1102"/>
      <c r="M46" s="601">
        <f t="shared" si="4"/>
        <v>0</v>
      </c>
      <c r="N46" s="513">
        <f t="shared" si="1"/>
        <v>0</v>
      </c>
      <c r="P46" s="601">
        <f t="shared" si="2"/>
        <v>0</v>
      </c>
    </row>
    <row r="47" spans="1:16" ht="20.100000000000001" customHeight="1">
      <c r="A47" s="1028" t="s">
        <v>48</v>
      </c>
      <c r="B47" s="1028" t="s">
        <v>49</v>
      </c>
      <c r="C47" s="554">
        <v>1.891</v>
      </c>
      <c r="D47" s="1102">
        <v>2.5946250000000002</v>
      </c>
      <c r="E47" s="554">
        <v>1.4330000000000001</v>
      </c>
      <c r="F47" s="554">
        <v>1.1616250000000001</v>
      </c>
      <c r="G47" s="554">
        <v>2.5946250000000002</v>
      </c>
      <c r="H47" s="554">
        <v>1.891</v>
      </c>
      <c r="I47" s="554">
        <v>2.7676500000000002</v>
      </c>
      <c r="J47" s="1102">
        <v>2.8359999999999999</v>
      </c>
      <c r="L47" s="1102">
        <f>2594625/1000000</f>
        <v>2.5946250000000002</v>
      </c>
      <c r="M47" s="601">
        <f t="shared" si="4"/>
        <v>0.24137499999999967</v>
      </c>
      <c r="N47" s="513">
        <f t="shared" si="1"/>
        <v>0</v>
      </c>
      <c r="P47" s="601">
        <f t="shared" si="2"/>
        <v>0</v>
      </c>
    </row>
    <row r="48" spans="1:16" ht="20.100000000000001" customHeight="1">
      <c r="A48" s="1028" t="s">
        <v>50</v>
      </c>
      <c r="B48" s="1028" t="s">
        <v>51</v>
      </c>
      <c r="C48" s="554">
        <v>1.5369999999999999</v>
      </c>
      <c r="D48" s="1102">
        <v>1.44</v>
      </c>
      <c r="E48" s="554">
        <v>0.88500000000000001</v>
      </c>
      <c r="F48" s="554">
        <v>0.55499999999999994</v>
      </c>
      <c r="G48" s="554">
        <v>1.44</v>
      </c>
      <c r="H48" s="554">
        <v>1.5369999999999999</v>
      </c>
      <c r="I48" s="554">
        <v>0.75600000000000001</v>
      </c>
      <c r="J48" s="1102">
        <v>0.77400000000000002</v>
      </c>
      <c r="L48" s="1102">
        <f>720000*2/1000000</f>
        <v>1.44</v>
      </c>
      <c r="M48" s="601">
        <f t="shared" si="4"/>
        <v>-0.66599999999999993</v>
      </c>
      <c r="N48" s="513">
        <f t="shared" si="1"/>
        <v>0</v>
      </c>
      <c r="P48" s="601">
        <f t="shared" si="2"/>
        <v>0</v>
      </c>
    </row>
    <row r="49" spans="1:16" ht="20.100000000000001" hidden="1" customHeight="1">
      <c r="A49" s="1028" t="s">
        <v>52</v>
      </c>
      <c r="B49" s="1028" t="s">
        <v>53</v>
      </c>
      <c r="C49" s="554"/>
      <c r="D49" s="1102"/>
      <c r="E49" s="554"/>
      <c r="F49" s="554">
        <v>0</v>
      </c>
      <c r="G49" s="554">
        <v>0</v>
      </c>
      <c r="H49" s="554"/>
      <c r="I49" s="554"/>
      <c r="J49" s="1102"/>
      <c r="L49" s="1102"/>
      <c r="M49" s="601">
        <f t="shared" si="4"/>
        <v>0</v>
      </c>
      <c r="N49" s="513">
        <f t="shared" si="1"/>
        <v>0</v>
      </c>
      <c r="P49" s="601">
        <f t="shared" si="2"/>
        <v>0</v>
      </c>
    </row>
    <row r="50" spans="1:16" ht="20.100000000000001" customHeight="1">
      <c r="A50" s="1028" t="s">
        <v>54</v>
      </c>
      <c r="B50" s="1028" t="s">
        <v>55</v>
      </c>
      <c r="C50" s="554">
        <v>20.381</v>
      </c>
      <c r="D50" s="1115">
        <v>21</v>
      </c>
      <c r="E50" s="554">
        <v>15.202</v>
      </c>
      <c r="F50" s="554">
        <v>5.798</v>
      </c>
      <c r="G50" s="554">
        <v>21</v>
      </c>
      <c r="H50" s="554">
        <v>20.381</v>
      </c>
      <c r="I50" s="554">
        <v>33.228000000000002</v>
      </c>
      <c r="J50" s="1115">
        <v>34.488</v>
      </c>
      <c r="L50" s="1102">
        <f>30042000/1000000</f>
        <v>30.042000000000002</v>
      </c>
      <c r="M50" s="601">
        <f t="shared" si="4"/>
        <v>4.445999999999998</v>
      </c>
      <c r="N50" s="513">
        <f t="shared" si="1"/>
        <v>0</v>
      </c>
      <c r="P50" s="601">
        <f t="shared" si="2"/>
        <v>0</v>
      </c>
    </row>
    <row r="51" spans="1:16" ht="20.100000000000001" hidden="1" customHeight="1">
      <c r="A51" s="1028" t="s">
        <v>56</v>
      </c>
      <c r="B51" s="1028" t="s">
        <v>57</v>
      </c>
      <c r="C51" s="554"/>
      <c r="D51" s="1102"/>
      <c r="E51" s="554"/>
      <c r="F51" s="554">
        <v>0</v>
      </c>
      <c r="G51" s="554">
        <v>0</v>
      </c>
      <c r="H51" s="554"/>
      <c r="I51" s="554"/>
      <c r="J51" s="1102"/>
      <c r="L51" s="1102"/>
      <c r="M51" s="601">
        <f t="shared" si="4"/>
        <v>0</v>
      </c>
      <c r="N51" s="513">
        <f t="shared" si="1"/>
        <v>0</v>
      </c>
      <c r="P51" s="601">
        <f t="shared" si="2"/>
        <v>0</v>
      </c>
    </row>
    <row r="52" spans="1:16" ht="20.100000000000001" hidden="1" customHeight="1">
      <c r="A52" s="1028" t="s">
        <v>58</v>
      </c>
      <c r="B52" s="1028" t="s">
        <v>59</v>
      </c>
      <c r="C52" s="554"/>
      <c r="D52" s="1102"/>
      <c r="E52" s="554"/>
      <c r="F52" s="554">
        <v>0</v>
      </c>
      <c r="G52" s="554">
        <v>0</v>
      </c>
      <c r="H52" s="554"/>
      <c r="I52" s="554"/>
      <c r="J52" s="1102"/>
      <c r="L52" s="1102"/>
      <c r="M52" s="601">
        <f t="shared" si="4"/>
        <v>0</v>
      </c>
      <c r="N52" s="513">
        <f t="shared" si="1"/>
        <v>0</v>
      </c>
      <c r="P52" s="601">
        <f t="shared" si="2"/>
        <v>0</v>
      </c>
    </row>
    <row r="53" spans="1:16" ht="20.100000000000001" hidden="1" customHeight="1">
      <c r="A53" s="1028" t="s">
        <v>60</v>
      </c>
      <c r="B53" s="1028" t="s">
        <v>61</v>
      </c>
      <c r="C53" s="554"/>
      <c r="D53" s="1102"/>
      <c r="E53" s="554"/>
      <c r="F53" s="554">
        <v>0</v>
      </c>
      <c r="G53" s="554">
        <v>0</v>
      </c>
      <c r="H53" s="554"/>
      <c r="I53" s="554"/>
      <c r="J53" s="1102"/>
      <c r="L53" s="1102"/>
      <c r="M53" s="601">
        <f t="shared" si="4"/>
        <v>0</v>
      </c>
      <c r="N53" s="513">
        <f t="shared" si="1"/>
        <v>0</v>
      </c>
      <c r="P53" s="601">
        <f t="shared" si="2"/>
        <v>0</v>
      </c>
    </row>
    <row r="54" spans="1:16" ht="20.100000000000001" hidden="1" customHeight="1">
      <c r="A54" s="1028" t="s">
        <v>62</v>
      </c>
      <c r="B54" s="1028" t="s">
        <v>63</v>
      </c>
      <c r="C54" s="554"/>
      <c r="D54" s="1102"/>
      <c r="E54" s="554"/>
      <c r="F54" s="554">
        <v>0</v>
      </c>
      <c r="G54" s="554">
        <v>0</v>
      </c>
      <c r="H54" s="554"/>
      <c r="I54" s="554"/>
      <c r="J54" s="1102"/>
      <c r="L54" s="1102"/>
      <c r="M54" s="601">
        <f t="shared" si="4"/>
        <v>0</v>
      </c>
      <c r="N54" s="513">
        <f t="shared" si="1"/>
        <v>0</v>
      </c>
      <c r="P54" s="601">
        <f t="shared" si="2"/>
        <v>0</v>
      </c>
    </row>
    <row r="55" spans="1:16" ht="20.100000000000001" customHeight="1">
      <c r="A55" s="1028"/>
      <c r="B55" s="1028" t="s">
        <v>1515</v>
      </c>
      <c r="C55" s="554"/>
      <c r="D55" s="1102"/>
      <c r="E55" s="554">
        <v>6.6849999999999996</v>
      </c>
      <c r="F55" s="554">
        <v>0.59499999999999997</v>
      </c>
      <c r="G55" s="554">
        <v>7.2799999999999994</v>
      </c>
      <c r="H55" s="554"/>
      <c r="I55" s="554"/>
      <c r="J55" s="1102"/>
      <c r="L55" s="1102"/>
      <c r="M55" s="601"/>
      <c r="N55" s="513">
        <f t="shared" si="1"/>
        <v>-7.2799999999999994</v>
      </c>
      <c r="P55" s="601"/>
    </row>
    <row r="56" spans="1:16" ht="30" customHeight="1">
      <c r="A56" s="1028" t="s">
        <v>64</v>
      </c>
      <c r="B56" s="1028" t="s">
        <v>857</v>
      </c>
      <c r="C56" s="554">
        <v>3.23</v>
      </c>
      <c r="D56" s="1102">
        <v>3.4399799999999998</v>
      </c>
      <c r="E56" s="554">
        <v>2.3679999999999999</v>
      </c>
      <c r="F56" s="554">
        <v>1.0719799999999999</v>
      </c>
      <c r="G56" s="554">
        <v>3.4399799999999998</v>
      </c>
      <c r="H56" s="554">
        <v>3.23</v>
      </c>
      <c r="I56" s="554">
        <v>3.5134799999999999</v>
      </c>
      <c r="J56" s="1102">
        <v>3.5089999999999999</v>
      </c>
      <c r="L56" s="1102">
        <f>3439980/1000000</f>
        <v>3.4399799999999998</v>
      </c>
      <c r="M56" s="601">
        <f t="shared" si="4"/>
        <v>6.9020000000000081E-2</v>
      </c>
      <c r="N56" s="513">
        <f t="shared" si="1"/>
        <v>0</v>
      </c>
      <c r="P56" s="601">
        <f t="shared" si="2"/>
        <v>0</v>
      </c>
    </row>
    <row r="57" spans="1:16" ht="20.100000000000001" hidden="1" customHeight="1">
      <c r="A57" s="986" t="s">
        <v>65</v>
      </c>
      <c r="B57" s="987" t="s">
        <v>66</v>
      </c>
      <c r="C57" s="988"/>
      <c r="D57" s="988"/>
      <c r="E57" s="988"/>
      <c r="F57" s="988"/>
      <c r="G57" s="988"/>
      <c r="H57" s="1057"/>
      <c r="I57" s="1057"/>
      <c r="J57" s="1153"/>
      <c r="L57" s="1102"/>
      <c r="M57" s="601">
        <f t="shared" si="4"/>
        <v>0</v>
      </c>
      <c r="N57" s="513">
        <f t="shared" si="1"/>
        <v>0</v>
      </c>
      <c r="P57" s="601">
        <f t="shared" si="2"/>
        <v>0</v>
      </c>
    </row>
    <row r="58" spans="1:16" ht="20.100000000000001" hidden="1" customHeight="1">
      <c r="A58" s="167" t="s">
        <v>67</v>
      </c>
      <c r="B58" s="168" t="s">
        <v>68</v>
      </c>
      <c r="C58" s="503"/>
      <c r="D58" s="503"/>
      <c r="E58" s="503"/>
      <c r="F58" s="503"/>
      <c r="G58" s="503"/>
      <c r="H58" s="796"/>
      <c r="I58" s="796"/>
      <c r="J58" s="1102"/>
      <c r="L58" s="1102"/>
      <c r="M58" s="601">
        <f t="shared" si="4"/>
        <v>0</v>
      </c>
      <c r="N58" s="513">
        <f t="shared" si="1"/>
        <v>0</v>
      </c>
      <c r="P58" s="601">
        <f t="shared" si="2"/>
        <v>0</v>
      </c>
    </row>
    <row r="59" spans="1:16" ht="20.100000000000001" hidden="1" customHeight="1">
      <c r="A59" s="167" t="s">
        <v>69</v>
      </c>
      <c r="B59" s="168" t="s">
        <v>70</v>
      </c>
      <c r="C59" s="503"/>
      <c r="D59" s="503"/>
      <c r="E59" s="503"/>
      <c r="F59" s="503"/>
      <c r="G59" s="503"/>
      <c r="H59" s="796"/>
      <c r="I59" s="796"/>
      <c r="J59" s="1102"/>
      <c r="L59" s="1102"/>
      <c r="M59" s="601">
        <f t="shared" si="4"/>
        <v>0</v>
      </c>
      <c r="N59" s="513">
        <f t="shared" si="1"/>
        <v>0</v>
      </c>
      <c r="P59" s="601">
        <f t="shared" si="2"/>
        <v>0</v>
      </c>
    </row>
    <row r="60" spans="1:16" ht="20.100000000000001" hidden="1" customHeight="1">
      <c r="A60" s="167" t="s">
        <v>71</v>
      </c>
      <c r="B60" s="168" t="s">
        <v>72</v>
      </c>
      <c r="C60" s="503"/>
      <c r="D60" s="503"/>
      <c r="E60" s="503"/>
      <c r="F60" s="503"/>
      <c r="G60" s="503"/>
      <c r="H60" s="796"/>
      <c r="I60" s="796"/>
      <c r="J60" s="1102"/>
      <c r="L60" s="1102"/>
      <c r="M60" s="601">
        <f t="shared" si="4"/>
        <v>0</v>
      </c>
      <c r="N60" s="513">
        <f t="shared" si="1"/>
        <v>0</v>
      </c>
      <c r="P60" s="601">
        <f t="shared" si="2"/>
        <v>0</v>
      </c>
    </row>
    <row r="61" spans="1:16" ht="20.100000000000001" hidden="1" customHeight="1">
      <c r="A61" s="982" t="s">
        <v>73</v>
      </c>
      <c r="B61" s="983" t="s">
        <v>16</v>
      </c>
      <c r="C61" s="984"/>
      <c r="D61" s="984"/>
      <c r="E61" s="984"/>
      <c r="F61" s="984"/>
      <c r="G61" s="984"/>
      <c r="H61" s="1056"/>
      <c r="I61" s="1056"/>
      <c r="J61" s="1102"/>
      <c r="L61" s="1102"/>
      <c r="M61" s="601">
        <f t="shared" si="4"/>
        <v>0</v>
      </c>
      <c r="N61" s="513">
        <f t="shared" si="1"/>
        <v>0</v>
      </c>
      <c r="P61" s="601">
        <f t="shared" si="2"/>
        <v>0</v>
      </c>
    </row>
    <row r="62" spans="1:16" ht="24" customHeight="1">
      <c r="A62" s="1295" t="s">
        <v>75</v>
      </c>
      <c r="B62" s="1295"/>
      <c r="C62" s="985">
        <v>585.43200000000002</v>
      </c>
      <c r="D62" s="985">
        <v>745.73296200000004</v>
      </c>
      <c r="E62" s="985">
        <v>498.04200000000003</v>
      </c>
      <c r="F62" s="985">
        <v>255.70196199999998</v>
      </c>
      <c r="G62" s="985">
        <v>753.74396200000001</v>
      </c>
      <c r="H62" s="985">
        <v>585.428</v>
      </c>
      <c r="I62" s="1099">
        <v>767.02476799999999</v>
      </c>
      <c r="J62" s="985">
        <v>880.43</v>
      </c>
      <c r="L62" s="985">
        <f t="shared" ref="L62" si="9">L42+L26</f>
        <v>798.4695989999999</v>
      </c>
      <c r="M62" s="601">
        <f t="shared" si="4"/>
        <v>81.960401000000047</v>
      </c>
      <c r="N62" s="513">
        <f t="shared" si="1"/>
        <v>-8.0109999999999673</v>
      </c>
      <c r="P62" s="601">
        <f t="shared" si="2"/>
        <v>0</v>
      </c>
    </row>
    <row r="63" spans="1:16" ht="6" hidden="1" customHeight="1">
      <c r="A63" s="1299"/>
      <c r="B63" s="1299"/>
      <c r="C63" s="1299"/>
      <c r="D63" s="1299"/>
      <c r="E63" s="1299"/>
      <c r="F63" s="1299"/>
      <c r="G63" s="1299"/>
      <c r="H63" s="1299"/>
      <c r="I63" s="1299"/>
      <c r="J63" s="1102"/>
      <c r="L63" s="1102"/>
      <c r="M63" s="601">
        <f t="shared" si="4"/>
        <v>0</v>
      </c>
      <c r="N63" s="513">
        <f t="shared" si="1"/>
        <v>0</v>
      </c>
      <c r="P63" s="601">
        <f t="shared" si="2"/>
        <v>0</v>
      </c>
    </row>
    <row r="64" spans="1:16" ht="6" hidden="1" customHeight="1">
      <c r="A64" s="981"/>
      <c r="B64" s="981"/>
      <c r="C64" s="981"/>
      <c r="D64" s="981"/>
      <c r="E64" s="981"/>
      <c r="F64" s="981"/>
      <c r="G64" s="981"/>
      <c r="H64" s="1047"/>
      <c r="I64" s="981"/>
      <c r="J64" s="1102"/>
      <c r="L64" s="1102"/>
      <c r="M64" s="601">
        <f t="shared" si="4"/>
        <v>0</v>
      </c>
      <c r="N64" s="513">
        <f t="shared" si="1"/>
        <v>0</v>
      </c>
      <c r="P64" s="601"/>
    </row>
    <row r="65" spans="1:16" ht="6" hidden="1" customHeight="1">
      <c r="A65" s="981"/>
      <c r="B65" s="981"/>
      <c r="C65" s="981"/>
      <c r="D65" s="981"/>
      <c r="E65" s="981"/>
      <c r="F65" s="981"/>
      <c r="G65" s="981"/>
      <c r="H65" s="1047"/>
      <c r="I65" s="981"/>
      <c r="J65" s="1102"/>
      <c r="L65" s="1102"/>
      <c r="M65" s="601">
        <f t="shared" si="4"/>
        <v>0</v>
      </c>
      <c r="N65" s="513">
        <f t="shared" si="1"/>
        <v>0</v>
      </c>
      <c r="P65" s="601"/>
    </row>
    <row r="66" spans="1:16" ht="6" hidden="1" customHeight="1">
      <c r="A66" s="981"/>
      <c r="B66" s="981"/>
      <c r="C66" s="981"/>
      <c r="D66" s="981"/>
      <c r="E66" s="981"/>
      <c r="F66" s="981"/>
      <c r="G66" s="981"/>
      <c r="H66" s="1047"/>
      <c r="I66" s="981"/>
      <c r="J66" s="1102"/>
      <c r="L66" s="1102"/>
      <c r="M66" s="601">
        <f t="shared" si="4"/>
        <v>0</v>
      </c>
      <c r="N66" s="513">
        <f t="shared" si="1"/>
        <v>0</v>
      </c>
      <c r="P66" s="601"/>
    </row>
    <row r="67" spans="1:16" ht="6" hidden="1" customHeight="1">
      <c r="A67" s="981"/>
      <c r="B67" s="981"/>
      <c r="C67" s="981"/>
      <c r="D67" s="981"/>
      <c r="E67" s="981"/>
      <c r="F67" s="981"/>
      <c r="G67" s="981"/>
      <c r="H67" s="1047"/>
      <c r="I67" s="981"/>
      <c r="J67" s="1102"/>
      <c r="L67" s="1102"/>
      <c r="M67" s="601">
        <f t="shared" si="4"/>
        <v>0</v>
      </c>
      <c r="N67" s="513">
        <f t="shared" si="1"/>
        <v>0</v>
      </c>
      <c r="P67" s="601"/>
    </row>
    <row r="68" spans="1:16" ht="6" hidden="1" customHeight="1">
      <c r="A68" s="981"/>
      <c r="B68" s="981"/>
      <c r="C68" s="981"/>
      <c r="D68" s="981"/>
      <c r="E68" s="981"/>
      <c r="F68" s="981"/>
      <c r="G68" s="981"/>
      <c r="H68" s="1047"/>
      <c r="I68" s="981"/>
      <c r="J68" s="1102"/>
      <c r="L68" s="1102"/>
      <c r="M68" s="601">
        <f t="shared" si="4"/>
        <v>0</v>
      </c>
      <c r="N68" s="513">
        <f t="shared" si="1"/>
        <v>0</v>
      </c>
      <c r="P68" s="601"/>
    </row>
    <row r="69" spans="1:16" ht="6" hidden="1" customHeight="1">
      <c r="A69" s="981"/>
      <c r="B69" s="981"/>
      <c r="C69" s="981"/>
      <c r="D69" s="981"/>
      <c r="E69" s="981"/>
      <c r="F69" s="981"/>
      <c r="G69" s="981"/>
      <c r="H69" s="1047"/>
      <c r="I69" s="981"/>
      <c r="J69" s="1102"/>
      <c r="L69" s="1102"/>
      <c r="M69" s="601">
        <f t="shared" si="4"/>
        <v>0</v>
      </c>
      <c r="N69" s="513">
        <f t="shared" si="1"/>
        <v>0</v>
      </c>
      <c r="P69" s="601"/>
    </row>
    <row r="70" spans="1:16" ht="6" hidden="1" customHeight="1">
      <c r="A70" s="981"/>
      <c r="B70" s="981"/>
      <c r="C70" s="981"/>
      <c r="D70" s="981"/>
      <c r="E70" s="981"/>
      <c r="F70" s="981"/>
      <c r="G70" s="981"/>
      <c r="H70" s="1047"/>
      <c r="I70" s="981"/>
      <c r="J70" s="1102"/>
      <c r="L70" s="1102"/>
      <c r="M70" s="601">
        <f t="shared" si="4"/>
        <v>0</v>
      </c>
      <c r="N70" s="513">
        <f t="shared" si="1"/>
        <v>0</v>
      </c>
      <c r="P70" s="601"/>
    </row>
    <row r="71" spans="1:16" ht="6" hidden="1" customHeight="1">
      <c r="A71" s="981"/>
      <c r="B71" s="981"/>
      <c r="C71" s="981"/>
      <c r="D71" s="981"/>
      <c r="E71" s="981"/>
      <c r="F71" s="981"/>
      <c r="G71" s="981"/>
      <c r="H71" s="1047"/>
      <c r="I71" s="981"/>
      <c r="J71" s="1102"/>
      <c r="L71" s="1102"/>
      <c r="M71" s="601">
        <f t="shared" si="4"/>
        <v>0</v>
      </c>
      <c r="N71" s="513">
        <f t="shared" si="1"/>
        <v>0</v>
      </c>
      <c r="P71" s="601"/>
    </row>
    <row r="72" spans="1:16" ht="6" hidden="1" customHeight="1">
      <c r="A72" s="981"/>
      <c r="B72" s="981"/>
      <c r="C72" s="981"/>
      <c r="D72" s="981"/>
      <c r="E72" s="981"/>
      <c r="F72" s="981"/>
      <c r="G72" s="981"/>
      <c r="H72" s="1047"/>
      <c r="I72" s="981"/>
      <c r="J72" s="1102"/>
      <c r="L72" s="1102"/>
      <c r="M72" s="601">
        <f t="shared" si="4"/>
        <v>0</v>
      </c>
      <c r="N72" s="513">
        <f t="shared" si="1"/>
        <v>0</v>
      </c>
      <c r="P72" s="601"/>
    </row>
    <row r="73" spans="1:16" ht="6" hidden="1" customHeight="1">
      <c r="A73" s="981"/>
      <c r="B73" s="981"/>
      <c r="C73" s="981"/>
      <c r="D73" s="981"/>
      <c r="E73" s="981"/>
      <c r="F73" s="981"/>
      <c r="G73" s="981"/>
      <c r="H73" s="1047"/>
      <c r="I73" s="981"/>
      <c r="J73" s="1102"/>
      <c r="L73" s="1102"/>
      <c r="M73" s="601">
        <f t="shared" si="4"/>
        <v>0</v>
      </c>
      <c r="N73" s="513">
        <f t="shared" ref="N73:N84" si="10">+D73-G73</f>
        <v>0</v>
      </c>
      <c r="P73" s="601"/>
    </row>
    <row r="74" spans="1:16" s="397" customFormat="1" ht="21.95" customHeight="1">
      <c r="A74" s="1284" t="s">
        <v>91</v>
      </c>
      <c r="B74" s="1284"/>
      <c r="C74" s="985">
        <v>168.81</v>
      </c>
      <c r="D74" s="985">
        <v>149.33260000000001</v>
      </c>
      <c r="E74" s="985">
        <v>123.267</v>
      </c>
      <c r="F74" s="985">
        <v>37.112500000000004</v>
      </c>
      <c r="G74" s="985">
        <v>160.37950000000004</v>
      </c>
      <c r="H74" s="985">
        <v>168.81</v>
      </c>
      <c r="I74" s="1099">
        <v>150.25614999999999</v>
      </c>
      <c r="J74" s="985">
        <v>151.953</v>
      </c>
      <c r="L74" s="985">
        <f>SUM(L75:L83)</f>
        <v>161.93260000000004</v>
      </c>
      <c r="M74" s="601">
        <f t="shared" si="4"/>
        <v>-9.9796000000000333</v>
      </c>
      <c r="N74" s="513">
        <f t="shared" si="10"/>
        <v>-11.046900000000022</v>
      </c>
      <c r="P74" s="601">
        <f t="shared" si="2"/>
        <v>0</v>
      </c>
    </row>
    <row r="75" spans="1:16" ht="21.95" customHeight="1">
      <c r="A75" s="1028" t="s">
        <v>76</v>
      </c>
      <c r="B75" s="1028" t="s">
        <v>77</v>
      </c>
      <c r="C75" s="554">
        <v>4.7729999999999997</v>
      </c>
      <c r="D75" s="1102">
        <v>5.5</v>
      </c>
      <c r="E75" s="554">
        <v>3.0419999999999998</v>
      </c>
      <c r="F75" s="554">
        <v>0.95800000000000018</v>
      </c>
      <c r="G75" s="554">
        <v>4</v>
      </c>
      <c r="H75" s="554">
        <v>4.7729999999999997</v>
      </c>
      <c r="I75" s="554">
        <v>4.4000000000000004</v>
      </c>
      <c r="J75" s="1102">
        <v>4</v>
      </c>
      <c r="L75" s="1102">
        <v>5.5</v>
      </c>
      <c r="M75" s="601">
        <f t="shared" ref="M75:M85" si="11">+J75-L75</f>
        <v>-1.5</v>
      </c>
      <c r="N75" s="513">
        <f t="shared" si="10"/>
        <v>1.5</v>
      </c>
      <c r="P75" s="601">
        <f t="shared" si="2"/>
        <v>0</v>
      </c>
    </row>
    <row r="76" spans="1:16" ht="21.95" hidden="1" customHeight="1">
      <c r="A76" s="1028" t="s">
        <v>78</v>
      </c>
      <c r="B76" s="1028" t="s">
        <v>79</v>
      </c>
      <c r="C76" s="554"/>
      <c r="D76" s="1102"/>
      <c r="E76" s="554"/>
      <c r="F76" s="554">
        <v>0</v>
      </c>
      <c r="G76" s="554">
        <v>0</v>
      </c>
      <c r="H76" s="554"/>
      <c r="I76" s="554">
        <v>0</v>
      </c>
      <c r="J76" s="1102"/>
      <c r="L76" s="1102"/>
      <c r="M76" s="601">
        <f t="shared" si="11"/>
        <v>0</v>
      </c>
      <c r="N76" s="513">
        <f t="shared" si="10"/>
        <v>0</v>
      </c>
      <c r="P76" s="601">
        <f t="shared" si="2"/>
        <v>0</v>
      </c>
    </row>
    <row r="77" spans="1:16" ht="21.95" customHeight="1">
      <c r="A77" s="1028" t="s">
        <v>80</v>
      </c>
      <c r="B77" s="1028" t="s">
        <v>81</v>
      </c>
      <c r="C77" s="554">
        <v>7.1239999999999997</v>
      </c>
      <c r="D77" s="1102">
        <v>5.5</v>
      </c>
      <c r="E77" s="554">
        <v>4.3959999999999999</v>
      </c>
      <c r="F77" s="554">
        <v>0.60400000000000009</v>
      </c>
      <c r="G77" s="554">
        <v>5</v>
      </c>
      <c r="H77" s="554">
        <v>7.1239999999999997</v>
      </c>
      <c r="I77" s="554">
        <v>5.5</v>
      </c>
      <c r="J77" s="1102">
        <v>5</v>
      </c>
      <c r="L77" s="1102">
        <v>5.5</v>
      </c>
      <c r="M77" s="601">
        <f t="shared" si="11"/>
        <v>-0.5</v>
      </c>
      <c r="N77" s="513">
        <f t="shared" si="10"/>
        <v>0.5</v>
      </c>
      <c r="P77" s="601">
        <f t="shared" si="2"/>
        <v>0</v>
      </c>
    </row>
    <row r="78" spans="1:16" ht="21.95" customHeight="1">
      <c r="A78" s="1028" t="s">
        <v>82</v>
      </c>
      <c r="B78" s="1028" t="s">
        <v>83</v>
      </c>
      <c r="C78" s="554">
        <v>10.257999999999999</v>
      </c>
      <c r="D78" s="1115">
        <v>10</v>
      </c>
      <c r="E78" s="554">
        <v>8.3149999999999995</v>
      </c>
      <c r="F78" s="554">
        <v>1.6850000000000005</v>
      </c>
      <c r="G78" s="554">
        <v>10</v>
      </c>
      <c r="H78" s="554">
        <v>10.257999999999999</v>
      </c>
      <c r="I78" s="554">
        <v>11</v>
      </c>
      <c r="J78" s="1115">
        <v>14.52</v>
      </c>
      <c r="L78" s="1102">
        <v>13.200000000000001</v>
      </c>
      <c r="M78" s="601">
        <f t="shared" si="11"/>
        <v>1.3199999999999985</v>
      </c>
      <c r="N78" s="513">
        <f t="shared" si="10"/>
        <v>0</v>
      </c>
      <c r="P78" s="601">
        <f t="shared" si="2"/>
        <v>0</v>
      </c>
    </row>
    <row r="79" spans="1:16" ht="21.95" customHeight="1">
      <c r="A79" s="1028" t="s">
        <v>84</v>
      </c>
      <c r="B79" s="1028" t="s">
        <v>85</v>
      </c>
      <c r="C79" s="554">
        <v>138.874</v>
      </c>
      <c r="D79" s="1115">
        <v>121</v>
      </c>
      <c r="E79" s="554">
        <v>101.783</v>
      </c>
      <c r="F79" s="554">
        <v>32</v>
      </c>
      <c r="G79" s="554">
        <v>133.78300000000002</v>
      </c>
      <c r="H79" s="554">
        <v>138.874</v>
      </c>
      <c r="I79" s="554">
        <v>121</v>
      </c>
      <c r="J79" s="1115">
        <v>121</v>
      </c>
      <c r="L79" s="1120">
        <v>130.4</v>
      </c>
      <c r="M79" s="601">
        <f t="shared" si="11"/>
        <v>-9.4000000000000057</v>
      </c>
      <c r="N79" s="513">
        <f t="shared" si="10"/>
        <v>-12.783000000000015</v>
      </c>
      <c r="P79" s="601">
        <f t="shared" si="2"/>
        <v>0</v>
      </c>
    </row>
    <row r="80" spans="1:16" ht="28.5" customHeight="1">
      <c r="A80" s="1028" t="s">
        <v>86</v>
      </c>
      <c r="B80" s="1028" t="s">
        <v>820</v>
      </c>
      <c r="C80" s="554"/>
      <c r="D80" s="1102">
        <v>6.7100000000000007E-2</v>
      </c>
      <c r="E80" s="554"/>
      <c r="F80" s="554"/>
      <c r="G80" s="554">
        <v>0</v>
      </c>
      <c r="H80" s="554"/>
      <c r="I80" s="554">
        <v>0</v>
      </c>
      <c r="J80" s="1102">
        <v>0.1</v>
      </c>
      <c r="L80" s="1102">
        <v>6.7100000000000007E-2</v>
      </c>
      <c r="M80" s="601">
        <f t="shared" si="11"/>
        <v>3.2899999999999999E-2</v>
      </c>
      <c r="N80" s="513">
        <f t="shared" si="10"/>
        <v>6.7100000000000007E-2</v>
      </c>
      <c r="P80" s="601">
        <f t="shared" si="2"/>
        <v>0</v>
      </c>
    </row>
    <row r="81" spans="1:16" ht="30" customHeight="1">
      <c r="A81" s="1028" t="s">
        <v>1134</v>
      </c>
      <c r="B81" s="1028" t="s">
        <v>1135</v>
      </c>
      <c r="C81" s="554">
        <v>7.5179999999999998</v>
      </c>
      <c r="D81" s="1102">
        <v>6.6000000000000005</v>
      </c>
      <c r="E81" s="554">
        <v>5.7309999999999999</v>
      </c>
      <c r="F81" s="554">
        <v>1.2</v>
      </c>
      <c r="G81" s="554">
        <v>6.931</v>
      </c>
      <c r="H81" s="554">
        <v>7.5179999999999998</v>
      </c>
      <c r="I81" s="554">
        <v>7.6241000000000003</v>
      </c>
      <c r="J81" s="1102">
        <v>6.6000000000000005</v>
      </c>
      <c r="L81" s="1102">
        <v>6.6000000000000005</v>
      </c>
      <c r="M81" s="601">
        <f t="shared" si="11"/>
        <v>0</v>
      </c>
      <c r="N81" s="513">
        <f t="shared" si="10"/>
        <v>-0.33099999999999952</v>
      </c>
      <c r="P81" s="601">
        <f t="shared" si="2"/>
        <v>0</v>
      </c>
    </row>
    <row r="82" spans="1:16" ht="21.95" customHeight="1">
      <c r="A82" s="1028" t="s">
        <v>87</v>
      </c>
      <c r="B82" s="1028" t="s">
        <v>88</v>
      </c>
      <c r="C82" s="554">
        <v>0.26300000000000001</v>
      </c>
      <c r="D82" s="1102">
        <v>0.66549999999999998</v>
      </c>
      <c r="E82" s="554"/>
      <c r="F82" s="554">
        <v>0.66549999999999998</v>
      </c>
      <c r="G82" s="554">
        <v>0.66549999999999998</v>
      </c>
      <c r="H82" s="554">
        <v>0.26300000000000001</v>
      </c>
      <c r="I82" s="554">
        <v>0.73205000000000009</v>
      </c>
      <c r="J82" s="1102">
        <v>0.73299999999999998</v>
      </c>
      <c r="L82" s="1102">
        <v>0.66549999999999998</v>
      </c>
      <c r="M82" s="601">
        <f t="shared" si="11"/>
        <v>6.7500000000000004E-2</v>
      </c>
      <c r="N82" s="513">
        <f t="shared" si="10"/>
        <v>0</v>
      </c>
      <c r="P82" s="601">
        <f t="shared" si="2"/>
        <v>0</v>
      </c>
    </row>
    <row r="83" spans="1:16" ht="21.95" hidden="1" customHeight="1">
      <c r="A83" s="986" t="s">
        <v>89</v>
      </c>
      <c r="B83" s="1161" t="s">
        <v>90</v>
      </c>
      <c r="C83" s="1057"/>
      <c r="D83" s="988"/>
      <c r="E83" s="988"/>
      <c r="F83" s="988">
        <v>0</v>
      </c>
      <c r="G83" s="988"/>
      <c r="H83" s="1057"/>
      <c r="I83" s="1057"/>
      <c r="J83" s="1153"/>
      <c r="L83" s="1102"/>
      <c r="M83" s="601">
        <f t="shared" si="11"/>
        <v>0</v>
      </c>
      <c r="N83" s="513">
        <f t="shared" si="10"/>
        <v>0</v>
      </c>
      <c r="P83" s="601">
        <f t="shared" si="2"/>
        <v>0</v>
      </c>
    </row>
    <row r="84" spans="1:16" ht="21.95" customHeight="1">
      <c r="A84" s="1285" t="s">
        <v>92</v>
      </c>
      <c r="B84" s="1286"/>
      <c r="C84" s="512">
        <v>1736.5319999999999</v>
      </c>
      <c r="D84" s="512">
        <v>2008.1803830000001</v>
      </c>
      <c r="E84" s="512">
        <v>1367.874</v>
      </c>
      <c r="F84" s="512">
        <v>660.81328299999996</v>
      </c>
      <c r="G84" s="512">
        <v>2028.687283</v>
      </c>
      <c r="H84" s="512">
        <v>1736.528</v>
      </c>
      <c r="I84" s="1100">
        <v>2150.4818360999998</v>
      </c>
      <c r="J84" s="1101">
        <v>2289.873</v>
      </c>
      <c r="L84" s="1101">
        <f>L74+L62+L24</f>
        <v>2139.9171099999999</v>
      </c>
      <c r="M84" s="601">
        <f t="shared" si="11"/>
        <v>149.95589000000018</v>
      </c>
      <c r="N84" s="513">
        <f t="shared" si="10"/>
        <v>-20.50689999999986</v>
      </c>
      <c r="P84" s="601">
        <f t="shared" si="2"/>
        <v>0</v>
      </c>
    </row>
    <row r="85" spans="1:16">
      <c r="L85" s="1102"/>
      <c r="M85" s="601">
        <f t="shared" si="11"/>
        <v>0</v>
      </c>
    </row>
    <row r="86" spans="1:16">
      <c r="G86" s="601"/>
      <c r="H86" s="601"/>
      <c r="I86" s="601"/>
      <c r="N86" s="513">
        <f>2013782358/1000000</f>
        <v>2013.7823579999999</v>
      </c>
    </row>
    <row r="87" spans="1:16">
      <c r="C87" s="513"/>
      <c r="E87" s="601"/>
      <c r="J87" s="601"/>
      <c r="N87" s="513">
        <f>+N86-J84</f>
        <v>-276.09064200000012</v>
      </c>
    </row>
    <row r="88" spans="1:16">
      <c r="M88" s="158" t="s">
        <v>1508</v>
      </c>
      <c r="N88" s="513">
        <f>50184048/1000000+130538268/1000000</f>
        <v>180.72231599999998</v>
      </c>
    </row>
    <row r="89" spans="1:16">
      <c r="J89" s="513"/>
    </row>
    <row r="90" spans="1:16">
      <c r="G90" s="964"/>
      <c r="H90" s="964"/>
      <c r="I90" s="964"/>
    </row>
    <row r="91" spans="1:16" ht="15">
      <c r="G91" s="1279"/>
      <c r="H91" s="1279"/>
      <c r="I91" s="1279"/>
      <c r="J91" s="601"/>
    </row>
    <row r="94" spans="1:16">
      <c r="G94" s="513">
        <f>1971629280/1000000</f>
        <v>1971.6292800000001</v>
      </c>
      <c r="H94" s="513"/>
      <c r="I94" s="158">
        <f>2020124184/1000000</f>
        <v>2020.124184</v>
      </c>
    </row>
    <row r="96" spans="1:16">
      <c r="G96" s="158">
        <f>42600552/1000000+89504124/1000000</f>
        <v>132.10467600000001</v>
      </c>
      <c r="I96" s="158">
        <f>42600552/1000000+89504124/1000000</f>
        <v>132.10467600000001</v>
      </c>
    </row>
    <row r="97" spans="7:9">
      <c r="G97" s="601">
        <f>+G94-G96</f>
        <v>1839.5246040000002</v>
      </c>
      <c r="H97" s="601"/>
      <c r="I97" s="601">
        <f>+I94-I96</f>
        <v>1888.0195080000001</v>
      </c>
    </row>
  </sheetData>
  <mergeCells count="19">
    <mergeCell ref="A2:J2"/>
    <mergeCell ref="A74:B74"/>
    <mergeCell ref="A84:B84"/>
    <mergeCell ref="A8:B8"/>
    <mergeCell ref="A17:B17"/>
    <mergeCell ref="A24:B24"/>
    <mergeCell ref="A26:B26"/>
    <mergeCell ref="A42:B42"/>
    <mergeCell ref="A62:B62"/>
    <mergeCell ref="A6:A7"/>
    <mergeCell ref="B6:B7"/>
    <mergeCell ref="C6:C7"/>
    <mergeCell ref="I6:I7"/>
    <mergeCell ref="A63:I63"/>
    <mergeCell ref="G91:I91"/>
    <mergeCell ref="A4:I4"/>
    <mergeCell ref="A25:I25"/>
    <mergeCell ref="D6:H6"/>
    <mergeCell ref="J6:J7"/>
  </mergeCells>
  <printOptions horizontalCentered="1"/>
  <pageMargins left="0.5" right="0.5" top="0.5" bottom="0.25" header="0.5" footer="0.15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4"/>
  <sheetViews>
    <sheetView view="pageBreakPreview" topLeftCell="A2" zoomScaleSheetLayoutView="100" workbookViewId="0">
      <pane xSplit="2" ySplit="7" topLeftCell="C159" activePane="bottomRight" state="frozen"/>
      <selection activeCell="A2" sqref="A2"/>
      <selection pane="topRight" activeCell="C2" sqref="C2"/>
      <selection pane="bottomLeft" activeCell="A9" sqref="A9"/>
      <selection pane="bottomRight" activeCell="A97" sqref="A97:J168"/>
    </sheetView>
  </sheetViews>
  <sheetFormatPr defaultRowHeight="14.25"/>
  <cols>
    <col min="1" max="1" width="11" style="495" customWidth="1"/>
    <col min="2" max="2" width="38" style="495" customWidth="1"/>
    <col min="3" max="4" width="15.7109375" style="495" customWidth="1"/>
    <col min="5" max="5" width="11.28515625" style="495" bestFit="1" customWidth="1"/>
    <col min="6" max="6" width="11.7109375" style="495" bestFit="1" customWidth="1"/>
    <col min="7" max="7" width="15.7109375" style="495" customWidth="1"/>
    <col min="8" max="9" width="15.7109375" style="495" hidden="1" customWidth="1"/>
    <col min="10" max="10" width="12.85546875" style="495" customWidth="1"/>
    <col min="11" max="11" width="6.42578125" style="495" customWidth="1"/>
    <col min="12" max="12" width="8.28515625" style="495" bestFit="1" customWidth="1"/>
    <col min="13" max="13" width="9.85546875" style="495" bestFit="1" customWidth="1"/>
    <col min="14" max="14" width="13.7109375" style="834" bestFit="1" customWidth="1"/>
    <col min="15" max="15" width="6.85546875" style="495" customWidth="1"/>
    <col min="16" max="16384" width="9.140625" style="495"/>
  </cols>
  <sheetData>
    <row r="1" spans="1:25" s="490" customFormat="1" ht="15.75" customHeight="1">
      <c r="A1" s="487"/>
      <c r="B1" s="487"/>
      <c r="C1" s="488"/>
      <c r="D1" s="488"/>
      <c r="E1" s="488"/>
      <c r="F1" s="488"/>
      <c r="G1" s="488"/>
      <c r="H1" s="488"/>
      <c r="I1" s="963"/>
      <c r="J1" s="489"/>
      <c r="K1" s="489"/>
      <c r="L1" s="489"/>
      <c r="M1" s="489"/>
      <c r="N1" s="832"/>
      <c r="O1" s="489"/>
      <c r="P1" s="489"/>
      <c r="Q1" s="489"/>
      <c r="R1" s="489"/>
      <c r="S1" s="489"/>
      <c r="T1" s="489"/>
      <c r="U1" s="489"/>
      <c r="V1" s="489"/>
    </row>
    <row r="2" spans="1:25" s="490" customFormat="1" ht="38.25" customHeight="1">
      <c r="A2" s="1306" t="s">
        <v>992</v>
      </c>
      <c r="B2" s="1306"/>
      <c r="C2" s="1306"/>
      <c r="D2" s="1306"/>
      <c r="E2" s="1306"/>
      <c r="F2" s="1306"/>
      <c r="G2" s="1306"/>
      <c r="H2" s="1306"/>
      <c r="I2" s="1306"/>
      <c r="J2" s="489"/>
      <c r="K2" s="489"/>
      <c r="L2" s="489"/>
      <c r="M2" s="489"/>
      <c r="N2" s="832"/>
      <c r="O2" s="489"/>
      <c r="P2" s="489"/>
      <c r="Q2" s="489"/>
      <c r="R2" s="489"/>
      <c r="S2" s="489"/>
      <c r="T2" s="489"/>
      <c r="U2" s="489"/>
      <c r="V2" s="489"/>
    </row>
    <row r="3" spans="1:25" s="490" customFormat="1" ht="20.25" customHeight="1">
      <c r="A3" s="491"/>
      <c r="B3" s="491"/>
      <c r="C3" s="491"/>
      <c r="D3" s="491"/>
      <c r="E3" s="491"/>
      <c r="F3" s="491"/>
      <c r="G3" s="491"/>
      <c r="H3" s="491"/>
      <c r="I3" s="491"/>
      <c r="J3" s="489"/>
      <c r="K3" s="489"/>
      <c r="L3" s="489"/>
      <c r="M3" s="489"/>
      <c r="N3" s="832"/>
      <c r="O3" s="489"/>
      <c r="P3" s="489"/>
      <c r="Q3" s="489"/>
      <c r="R3" s="489"/>
      <c r="S3" s="489"/>
      <c r="T3" s="489"/>
      <c r="U3" s="489"/>
      <c r="V3" s="489"/>
    </row>
    <row r="4" spans="1:25" s="493" customFormat="1" ht="16.5" customHeight="1">
      <c r="A4" s="1270"/>
      <c r="B4" s="1270"/>
      <c r="C4" s="1270"/>
      <c r="D4" s="1270"/>
      <c r="E4" s="1270"/>
      <c r="F4" s="1270"/>
      <c r="G4" s="1270"/>
      <c r="H4" s="1270"/>
      <c r="I4" s="1270"/>
      <c r="J4" s="492"/>
      <c r="K4" s="492"/>
      <c r="L4" s="492"/>
      <c r="M4" s="492"/>
      <c r="N4" s="833"/>
      <c r="O4" s="492"/>
      <c r="P4" s="492"/>
      <c r="Q4" s="492"/>
      <c r="R4" s="492"/>
      <c r="S4" s="492"/>
      <c r="T4" s="492"/>
      <c r="U4" s="492"/>
      <c r="V4" s="492"/>
    </row>
    <row r="5" spans="1:25" s="159" customFormat="1" ht="18" hidden="1" customHeight="1">
      <c r="B5" s="171"/>
      <c r="C5" s="494"/>
      <c r="D5" s="494"/>
      <c r="E5" s="494"/>
      <c r="F5" s="494"/>
      <c r="G5" s="494"/>
      <c r="H5" s="494"/>
      <c r="I5" s="181" t="s">
        <v>994</v>
      </c>
      <c r="J5" s="147"/>
      <c r="K5" s="147"/>
      <c r="L5" s="147"/>
      <c r="M5" s="147"/>
      <c r="N5" s="834"/>
    </row>
    <row r="6" spans="1:25" s="162" customFormat="1" ht="21" customHeight="1">
      <c r="A6" s="1296" t="s">
        <v>161</v>
      </c>
      <c r="B6" s="1296" t="s">
        <v>826</v>
      </c>
      <c r="C6" s="1239" t="s">
        <v>1512</v>
      </c>
      <c r="D6" s="1252" t="s">
        <v>1511</v>
      </c>
      <c r="E6" s="1253"/>
      <c r="F6" s="1253"/>
      <c r="G6" s="1253"/>
      <c r="H6" s="1254"/>
      <c r="I6" s="1297" t="s">
        <v>1091</v>
      </c>
      <c r="J6" s="1232" t="s">
        <v>1519</v>
      </c>
      <c r="K6" s="4"/>
      <c r="L6" s="4"/>
      <c r="M6" s="5"/>
      <c r="N6" s="835"/>
      <c r="O6" s="161"/>
      <c r="P6" s="161"/>
      <c r="W6" s="163"/>
      <c r="X6" s="162" t="s">
        <v>1045</v>
      </c>
    </row>
    <row r="7" spans="1:25" s="158" customFormat="1" ht="30">
      <c r="A7" s="1296"/>
      <c r="B7" s="1296"/>
      <c r="C7" s="1239"/>
      <c r="D7" s="1044" t="s">
        <v>818</v>
      </c>
      <c r="E7" s="884" t="s">
        <v>1514</v>
      </c>
      <c r="F7" s="884" t="s">
        <v>1518</v>
      </c>
      <c r="G7" s="1044" t="s">
        <v>819</v>
      </c>
      <c r="H7" s="1044" t="s">
        <v>1504</v>
      </c>
      <c r="I7" s="1307"/>
      <c r="J7" s="1232"/>
      <c r="M7" s="159"/>
      <c r="N7" s="834"/>
      <c r="O7" s="159"/>
      <c r="P7" s="159"/>
      <c r="W7" s="164"/>
      <c r="X7" s="165"/>
      <c r="Y7" s="160"/>
    </row>
    <row r="8" spans="1:25" ht="7.5" customHeight="1">
      <c r="A8" s="1300"/>
      <c r="B8" s="1301"/>
      <c r="C8" s="1301"/>
      <c r="D8" s="1301"/>
      <c r="E8" s="1301"/>
      <c r="F8" s="1301"/>
      <c r="G8" s="1301"/>
      <c r="H8" s="1301"/>
      <c r="I8" s="1302"/>
    </row>
    <row r="9" spans="1:25" s="496" customFormat="1" ht="21.95" customHeight="1">
      <c r="A9" s="1162" t="s">
        <v>815</v>
      </c>
      <c r="B9" s="1163" t="s">
        <v>827</v>
      </c>
      <c r="C9" s="1164">
        <v>5.1429999999999998</v>
      </c>
      <c r="D9" s="1164">
        <v>4.4286000000000003</v>
      </c>
      <c r="E9" s="1164">
        <v>3.8540000000000001</v>
      </c>
      <c r="F9" s="1164">
        <v>0.54600000000000026</v>
      </c>
      <c r="G9" s="1164">
        <v>4.4000000000000004</v>
      </c>
      <c r="H9" s="1164">
        <v>5.1429999999999998</v>
      </c>
      <c r="I9" s="1165">
        <v>4.4286000000000003</v>
      </c>
      <c r="J9" s="1166">
        <v>4.8719999999999999</v>
      </c>
      <c r="N9" s="834">
        <f>+E9+F9-G9</f>
        <v>0</v>
      </c>
      <c r="P9" s="960">
        <f>+E9+F9-G9</f>
        <v>0</v>
      </c>
    </row>
    <row r="10" spans="1:25" ht="16.5" customHeight="1">
      <c r="A10" s="1037" t="s">
        <v>196</v>
      </c>
      <c r="B10" s="1037" t="s">
        <v>817</v>
      </c>
      <c r="C10" s="554"/>
      <c r="D10" s="1106">
        <v>2.86E-2</v>
      </c>
      <c r="E10" s="554"/>
      <c r="F10" s="554"/>
      <c r="G10" s="554">
        <v>0</v>
      </c>
      <c r="H10" s="554"/>
      <c r="I10" s="554">
        <v>2.86E-2</v>
      </c>
      <c r="J10" s="1106">
        <v>3.2000000000000001E-2</v>
      </c>
      <c r="N10" s="834">
        <f t="shared" ref="N10:N73" si="0">+E10+F10-G10</f>
        <v>0</v>
      </c>
      <c r="P10" s="960">
        <f t="shared" ref="P10:P73" si="1">+E10+F10-G10</f>
        <v>0</v>
      </c>
    </row>
    <row r="11" spans="1:25" ht="16.5" customHeight="1">
      <c r="A11" s="1037" t="s">
        <v>197</v>
      </c>
      <c r="B11" s="1037" t="s">
        <v>816</v>
      </c>
      <c r="C11" s="554">
        <v>5.1429999999999998</v>
      </c>
      <c r="D11" s="1106">
        <v>4.4000000000000004</v>
      </c>
      <c r="E11" s="554">
        <v>3.8540000000000001</v>
      </c>
      <c r="F11" s="554">
        <v>0.54600000000000026</v>
      </c>
      <c r="G11" s="554">
        <v>4.4000000000000004</v>
      </c>
      <c r="H11" s="554">
        <v>5.1429999999999998</v>
      </c>
      <c r="I11" s="554">
        <v>4.4000000000000004</v>
      </c>
      <c r="J11" s="1106">
        <v>4.84</v>
      </c>
      <c r="N11" s="834">
        <f t="shared" si="0"/>
        <v>0</v>
      </c>
      <c r="P11" s="960">
        <f t="shared" si="1"/>
        <v>0</v>
      </c>
    </row>
    <row r="12" spans="1:25" ht="21.95" customHeight="1">
      <c r="A12" s="1172" t="s">
        <v>198</v>
      </c>
      <c r="B12" s="1173" t="s">
        <v>828</v>
      </c>
      <c r="C12" s="1174">
        <v>17.811</v>
      </c>
      <c r="D12" s="1174">
        <v>18.9343</v>
      </c>
      <c r="E12" s="1174">
        <v>16.826999999999998</v>
      </c>
      <c r="F12" s="1174">
        <v>7.2073000000000018</v>
      </c>
      <c r="G12" s="1174">
        <v>24.034300000000002</v>
      </c>
      <c r="H12" s="1174">
        <v>17.811</v>
      </c>
      <c r="I12" s="1175">
        <v>18.9343</v>
      </c>
      <c r="J12" s="1176">
        <v>25.228000000000002</v>
      </c>
      <c r="N12" s="834">
        <f t="shared" si="0"/>
        <v>0</v>
      </c>
      <c r="P12" s="960">
        <f t="shared" si="1"/>
        <v>0</v>
      </c>
    </row>
    <row r="13" spans="1:25" ht="16.5" customHeight="1">
      <c r="A13" s="1037" t="s">
        <v>199</v>
      </c>
      <c r="B13" s="1037" t="s">
        <v>814</v>
      </c>
      <c r="C13" s="554">
        <v>1.0009999999999999</v>
      </c>
      <c r="D13" s="1106">
        <v>1.6500000000000001</v>
      </c>
      <c r="E13" s="554">
        <v>1.75</v>
      </c>
      <c r="F13" s="554"/>
      <c r="G13" s="554">
        <v>1.75</v>
      </c>
      <c r="H13" s="554">
        <v>1.0009999999999999</v>
      </c>
      <c r="I13" s="554">
        <v>1.6500000000000001</v>
      </c>
      <c r="J13" s="1106">
        <v>1.8149999999999999</v>
      </c>
      <c r="N13" s="834">
        <f t="shared" si="0"/>
        <v>0</v>
      </c>
      <c r="P13" s="960">
        <f t="shared" si="1"/>
        <v>0</v>
      </c>
    </row>
    <row r="14" spans="1:25" ht="16.5" customHeight="1">
      <c r="A14" s="1037" t="s">
        <v>200</v>
      </c>
      <c r="B14" s="1037" t="s">
        <v>813</v>
      </c>
      <c r="C14" s="554">
        <v>5.3040000000000003</v>
      </c>
      <c r="D14" s="1106">
        <v>6.1864000000000008</v>
      </c>
      <c r="E14" s="554">
        <v>4.2839999999999998</v>
      </c>
      <c r="F14" s="554">
        <v>1.902400000000001</v>
      </c>
      <c r="G14" s="554">
        <v>6.1864000000000008</v>
      </c>
      <c r="H14" s="554">
        <v>5.3040000000000003</v>
      </c>
      <c r="I14" s="554">
        <v>6.1864000000000008</v>
      </c>
      <c r="J14" s="1106">
        <v>6.8049999999999997</v>
      </c>
      <c r="N14" s="834">
        <f t="shared" si="0"/>
        <v>0</v>
      </c>
      <c r="P14" s="960">
        <f t="shared" si="1"/>
        <v>0</v>
      </c>
    </row>
    <row r="15" spans="1:25" ht="16.5" customHeight="1">
      <c r="A15" s="1037" t="s">
        <v>812</v>
      </c>
      <c r="B15" s="1037" t="s">
        <v>811</v>
      </c>
      <c r="C15" s="554"/>
      <c r="D15" s="1106">
        <v>3.0800000000000004E-2</v>
      </c>
      <c r="E15" s="554"/>
      <c r="F15" s="554">
        <v>3.0800000000000004E-2</v>
      </c>
      <c r="G15" s="554">
        <v>3.0800000000000004E-2</v>
      </c>
      <c r="H15" s="554"/>
      <c r="I15" s="554">
        <v>3.0800000000000004E-2</v>
      </c>
      <c r="J15" s="1106">
        <v>3.4000000000000002E-2</v>
      </c>
      <c r="N15" s="834">
        <f t="shared" si="0"/>
        <v>0</v>
      </c>
      <c r="P15" s="960">
        <f t="shared" si="1"/>
        <v>0</v>
      </c>
    </row>
    <row r="16" spans="1:25" ht="16.5" customHeight="1">
      <c r="A16" s="1037" t="s">
        <v>810</v>
      </c>
      <c r="B16" s="1037" t="s">
        <v>809</v>
      </c>
      <c r="C16" s="554">
        <v>11.506</v>
      </c>
      <c r="D16" s="1106">
        <v>11</v>
      </c>
      <c r="E16" s="554">
        <v>10.792999999999999</v>
      </c>
      <c r="F16" s="554">
        <v>5.2070000000000007</v>
      </c>
      <c r="G16" s="554">
        <v>16</v>
      </c>
      <c r="H16" s="554">
        <v>11.506</v>
      </c>
      <c r="I16" s="554">
        <v>11</v>
      </c>
      <c r="J16" s="1106">
        <v>16.5</v>
      </c>
      <c r="N16" s="834">
        <f t="shared" si="0"/>
        <v>0</v>
      </c>
      <c r="P16" s="960">
        <f t="shared" si="1"/>
        <v>0</v>
      </c>
    </row>
    <row r="17" spans="1:16" ht="16.5" customHeight="1">
      <c r="A17" s="1037" t="s">
        <v>808</v>
      </c>
      <c r="B17" s="1037" t="s">
        <v>807</v>
      </c>
      <c r="C17" s="554"/>
      <c r="D17" s="1106">
        <v>6.7100000000000007E-2</v>
      </c>
      <c r="E17" s="554"/>
      <c r="F17" s="554">
        <v>6.7100000000000007E-2</v>
      </c>
      <c r="G17" s="554">
        <v>6.7100000000000007E-2</v>
      </c>
      <c r="H17" s="554"/>
      <c r="I17" s="554">
        <v>6.7100000000000007E-2</v>
      </c>
      <c r="J17" s="1106">
        <v>7.3999999999999996E-2</v>
      </c>
      <c r="N17" s="834">
        <f t="shared" si="0"/>
        <v>0</v>
      </c>
      <c r="P17" s="960">
        <f t="shared" si="1"/>
        <v>0</v>
      </c>
    </row>
    <row r="18" spans="1:16" ht="16.5" hidden="1" customHeight="1">
      <c r="A18" s="1177" t="s">
        <v>201</v>
      </c>
      <c r="B18" s="1178" t="s">
        <v>806</v>
      </c>
      <c r="C18" s="1057"/>
      <c r="D18" s="988"/>
      <c r="E18" s="988"/>
      <c r="F18" s="988"/>
      <c r="G18" s="988"/>
      <c r="H18" s="1057"/>
      <c r="I18" s="1057"/>
      <c r="J18" s="1179"/>
      <c r="N18" s="834">
        <f t="shared" si="0"/>
        <v>0</v>
      </c>
      <c r="P18" s="960">
        <f t="shared" si="1"/>
        <v>0</v>
      </c>
    </row>
    <row r="19" spans="1:16" ht="21.95" customHeight="1">
      <c r="A19" s="1180" t="s">
        <v>202</v>
      </c>
      <c r="B19" s="1181" t="s">
        <v>829</v>
      </c>
      <c r="C19" s="1182">
        <v>178.45500000000001</v>
      </c>
      <c r="D19" s="1182">
        <v>189.20439999999999</v>
      </c>
      <c r="E19" s="1182">
        <v>162.88300000000001</v>
      </c>
      <c r="F19" s="1182">
        <v>32.11699999999999</v>
      </c>
      <c r="G19" s="1182">
        <v>195</v>
      </c>
      <c r="H19" s="1182">
        <v>178.45500000000001</v>
      </c>
      <c r="I19" s="1183">
        <v>189.20439999999999</v>
      </c>
      <c r="J19" s="1184">
        <v>210</v>
      </c>
      <c r="N19" s="834">
        <f t="shared" si="0"/>
        <v>0</v>
      </c>
      <c r="P19" s="960">
        <f t="shared" si="1"/>
        <v>0</v>
      </c>
    </row>
    <row r="20" spans="1:16" ht="16.5" customHeight="1">
      <c r="A20" s="1037" t="s">
        <v>203</v>
      </c>
      <c r="B20" s="1037" t="s">
        <v>204</v>
      </c>
      <c r="C20" s="554">
        <v>9.4179999999999993</v>
      </c>
      <c r="D20" s="1106">
        <v>14</v>
      </c>
      <c r="E20" s="554">
        <v>5.31</v>
      </c>
      <c r="F20" s="554">
        <v>4.6900000000000004</v>
      </c>
      <c r="G20" s="554">
        <v>10</v>
      </c>
      <c r="H20" s="554">
        <v>9.4179999999999993</v>
      </c>
      <c r="I20" s="554">
        <v>14</v>
      </c>
      <c r="J20" s="1106">
        <v>10</v>
      </c>
      <c r="N20" s="834">
        <f t="shared" si="0"/>
        <v>0</v>
      </c>
      <c r="P20" s="960">
        <f t="shared" si="1"/>
        <v>0</v>
      </c>
    </row>
    <row r="21" spans="1:16" ht="16.5" hidden="1" customHeight="1">
      <c r="A21" s="1037" t="s">
        <v>205</v>
      </c>
      <c r="B21" s="1037" t="s">
        <v>206</v>
      </c>
      <c r="C21" s="554"/>
      <c r="D21" s="1106"/>
      <c r="E21" s="554"/>
      <c r="F21" s="554">
        <v>0</v>
      </c>
      <c r="G21" s="554"/>
      <c r="H21" s="554"/>
      <c r="I21" s="554"/>
      <c r="J21" s="1106"/>
      <c r="N21" s="834">
        <f t="shared" si="0"/>
        <v>0</v>
      </c>
      <c r="P21" s="960">
        <f t="shared" si="1"/>
        <v>0</v>
      </c>
    </row>
    <row r="22" spans="1:16" ht="16.5" customHeight="1">
      <c r="A22" s="1037" t="s">
        <v>207</v>
      </c>
      <c r="B22" s="1037" t="s">
        <v>208</v>
      </c>
      <c r="C22" s="554">
        <v>169.03700000000001</v>
      </c>
      <c r="D22" s="1106">
        <v>175.20439999999999</v>
      </c>
      <c r="E22" s="554">
        <v>157.57300000000001</v>
      </c>
      <c r="F22" s="554">
        <v>27.426999999999992</v>
      </c>
      <c r="G22" s="554">
        <v>185</v>
      </c>
      <c r="H22" s="554">
        <v>169.03700000000001</v>
      </c>
      <c r="I22" s="554">
        <v>175.20439999999999</v>
      </c>
      <c r="J22" s="1106">
        <v>200</v>
      </c>
      <c r="N22" s="834">
        <f t="shared" si="0"/>
        <v>0</v>
      </c>
      <c r="P22" s="960">
        <f t="shared" si="1"/>
        <v>0</v>
      </c>
    </row>
    <row r="23" spans="1:16" ht="16.5" hidden="1" customHeight="1">
      <c r="A23" s="1177" t="s">
        <v>209</v>
      </c>
      <c r="B23" s="1178" t="s">
        <v>805</v>
      </c>
      <c r="C23" s="1057"/>
      <c r="D23" s="988"/>
      <c r="E23" s="988"/>
      <c r="F23" s="988"/>
      <c r="G23" s="988"/>
      <c r="H23" s="1057"/>
      <c r="I23" s="1057"/>
      <c r="J23" s="1179"/>
      <c r="N23" s="834">
        <f t="shared" si="0"/>
        <v>0</v>
      </c>
      <c r="P23" s="960">
        <f t="shared" si="1"/>
        <v>0</v>
      </c>
    </row>
    <row r="24" spans="1:16" s="499" customFormat="1" ht="21.95" customHeight="1">
      <c r="A24" s="481" t="s">
        <v>210</v>
      </c>
      <c r="B24" s="482" t="s">
        <v>830</v>
      </c>
      <c r="C24" s="516">
        <v>110.64699999999999</v>
      </c>
      <c r="D24" s="516">
        <v>161.38</v>
      </c>
      <c r="E24" s="516">
        <v>115.678</v>
      </c>
      <c r="F24" s="516">
        <v>39.322000000000003</v>
      </c>
      <c r="G24" s="516">
        <v>155</v>
      </c>
      <c r="H24" s="516">
        <v>110.64699999999999</v>
      </c>
      <c r="I24" s="1058">
        <v>203.48499999999999</v>
      </c>
      <c r="J24" s="1104">
        <v>161.38</v>
      </c>
      <c r="M24" s="976">
        <f>I24-133.645</f>
        <v>69.839999999999975</v>
      </c>
      <c r="N24" s="834">
        <f t="shared" si="0"/>
        <v>0</v>
      </c>
      <c r="P24" s="960">
        <f t="shared" si="1"/>
        <v>0</v>
      </c>
    </row>
    <row r="25" spans="1:16" ht="16.5" hidden="1" customHeight="1">
      <c r="A25" s="1185" t="s">
        <v>211</v>
      </c>
      <c r="B25" s="1186" t="s">
        <v>804</v>
      </c>
      <c r="C25" s="1056"/>
      <c r="D25" s="984"/>
      <c r="E25" s="984"/>
      <c r="F25" s="984"/>
      <c r="G25" s="984"/>
      <c r="H25" s="1056"/>
      <c r="I25" s="1056"/>
      <c r="J25" s="1187"/>
      <c r="N25" s="834">
        <f t="shared" si="0"/>
        <v>0</v>
      </c>
      <c r="P25" s="960">
        <f t="shared" si="1"/>
        <v>0</v>
      </c>
    </row>
    <row r="26" spans="1:16" ht="18.75" customHeight="1">
      <c r="A26" s="1037" t="s">
        <v>212</v>
      </c>
      <c r="B26" s="1037" t="s">
        <v>1419</v>
      </c>
      <c r="C26" s="554">
        <v>27.263999999999999</v>
      </c>
      <c r="D26" s="1115">
        <v>35</v>
      </c>
      <c r="E26" s="554">
        <v>23.797000000000001</v>
      </c>
      <c r="F26" s="554">
        <v>11.202999999999999</v>
      </c>
      <c r="G26" s="554">
        <v>35</v>
      </c>
      <c r="H26" s="554">
        <v>27.263999999999999</v>
      </c>
      <c r="I26" s="554">
        <v>62.664999999999999</v>
      </c>
      <c r="J26" s="1115">
        <v>35</v>
      </c>
      <c r="M26" s="553">
        <f>+I26+I27</f>
        <v>197.10499999999999</v>
      </c>
      <c r="N26" s="834">
        <f t="shared" si="0"/>
        <v>0</v>
      </c>
      <c r="P26" s="960">
        <f t="shared" si="1"/>
        <v>0</v>
      </c>
    </row>
    <row r="27" spans="1:16" ht="21.75" customHeight="1">
      <c r="A27" s="1037" t="s">
        <v>213</v>
      </c>
      <c r="B27" s="1037" t="s">
        <v>1420</v>
      </c>
      <c r="C27" s="554">
        <v>83.382999999999996</v>
      </c>
      <c r="D27" s="1115">
        <v>120</v>
      </c>
      <c r="E27" s="554">
        <v>91.881</v>
      </c>
      <c r="F27" s="554">
        <v>28.119</v>
      </c>
      <c r="G27" s="554">
        <v>120</v>
      </c>
      <c r="H27" s="554">
        <v>83.382999999999996</v>
      </c>
      <c r="I27" s="554">
        <v>134.44</v>
      </c>
      <c r="J27" s="1115">
        <v>120</v>
      </c>
      <c r="M27" s="553">
        <f>+J27+J26</f>
        <v>155</v>
      </c>
      <c r="N27" s="834">
        <f t="shared" si="0"/>
        <v>0</v>
      </c>
      <c r="P27" s="960">
        <f t="shared" si="1"/>
        <v>0</v>
      </c>
    </row>
    <row r="28" spans="1:16" ht="16.5" hidden="1" customHeight="1">
      <c r="A28" s="1037" t="s">
        <v>802</v>
      </c>
      <c r="B28" s="1037" t="s">
        <v>801</v>
      </c>
      <c r="C28" s="554"/>
      <c r="D28" s="1106"/>
      <c r="E28" s="554"/>
      <c r="F28" s="554">
        <v>0</v>
      </c>
      <c r="G28" s="554">
        <v>0</v>
      </c>
      <c r="H28" s="554"/>
      <c r="I28" s="554"/>
      <c r="J28" s="1106"/>
      <c r="N28" s="834">
        <f t="shared" si="0"/>
        <v>0</v>
      </c>
      <c r="P28" s="960">
        <f t="shared" si="1"/>
        <v>0</v>
      </c>
    </row>
    <row r="29" spans="1:16" ht="16.5" hidden="1" customHeight="1">
      <c r="A29" s="1037" t="s">
        <v>214</v>
      </c>
      <c r="B29" s="1037" t="s">
        <v>800</v>
      </c>
      <c r="C29" s="554"/>
      <c r="D29" s="1106"/>
      <c r="E29" s="554"/>
      <c r="F29" s="554">
        <v>0</v>
      </c>
      <c r="G29" s="554">
        <v>0</v>
      </c>
      <c r="H29" s="554"/>
      <c r="I29" s="554"/>
      <c r="J29" s="1106"/>
      <c r="N29" s="834">
        <f t="shared" si="0"/>
        <v>0</v>
      </c>
      <c r="P29" s="960">
        <f t="shared" si="1"/>
        <v>0</v>
      </c>
    </row>
    <row r="30" spans="1:16" ht="25.5">
      <c r="A30" s="1189" t="s">
        <v>799</v>
      </c>
      <c r="B30" s="1189" t="s">
        <v>1351</v>
      </c>
      <c r="C30" s="554"/>
      <c r="D30" s="1106">
        <v>1.54</v>
      </c>
      <c r="E30" s="554"/>
      <c r="F30" s="554"/>
      <c r="G30" s="554">
        <v>0</v>
      </c>
      <c r="H30" s="554"/>
      <c r="I30" s="554">
        <v>1.54</v>
      </c>
      <c r="J30" s="1106">
        <v>1.54</v>
      </c>
      <c r="M30" s="553">
        <f>+M26-M27</f>
        <v>42.10499999999999</v>
      </c>
      <c r="N30" s="834">
        <f t="shared" si="0"/>
        <v>0</v>
      </c>
      <c r="P30" s="960">
        <f t="shared" si="1"/>
        <v>0</v>
      </c>
    </row>
    <row r="31" spans="1:16" ht="25.5">
      <c r="A31" s="1189" t="s">
        <v>1352</v>
      </c>
      <c r="B31" s="1189" t="s">
        <v>1353</v>
      </c>
      <c r="C31" s="554"/>
      <c r="D31" s="1106">
        <v>4.8400000000000007</v>
      </c>
      <c r="E31" s="554"/>
      <c r="F31" s="554"/>
      <c r="G31" s="554">
        <v>0</v>
      </c>
      <c r="H31" s="554"/>
      <c r="I31" s="554">
        <v>4.8400000000000007</v>
      </c>
      <c r="J31" s="1106">
        <v>4.8400000000000007</v>
      </c>
      <c r="N31" s="834">
        <f t="shared" si="0"/>
        <v>0</v>
      </c>
      <c r="P31" s="960">
        <f t="shared" si="1"/>
        <v>0</v>
      </c>
    </row>
    <row r="32" spans="1:16" s="499" customFormat="1" ht="21.95" hidden="1" customHeight="1">
      <c r="A32" s="1167" t="s">
        <v>787</v>
      </c>
      <c r="B32" s="1168" t="s">
        <v>831</v>
      </c>
      <c r="C32" s="1169"/>
      <c r="D32" s="1169">
        <v>0</v>
      </c>
      <c r="E32" s="1169"/>
      <c r="F32" s="1169"/>
      <c r="G32" s="1169">
        <v>0</v>
      </c>
      <c r="H32" s="1169"/>
      <c r="I32" s="1170">
        <v>0</v>
      </c>
      <c r="J32" s="1188"/>
      <c r="N32" s="834">
        <f t="shared" si="0"/>
        <v>0</v>
      </c>
      <c r="P32" s="960">
        <f t="shared" si="1"/>
        <v>0</v>
      </c>
    </row>
    <row r="33" spans="1:16" ht="16.5" hidden="1" customHeight="1">
      <c r="A33" s="497" t="s">
        <v>797</v>
      </c>
      <c r="B33" s="498" t="s">
        <v>796</v>
      </c>
      <c r="C33" s="796"/>
      <c r="D33" s="503"/>
      <c r="E33" s="503"/>
      <c r="F33" s="503"/>
      <c r="G33" s="503"/>
      <c r="H33" s="796"/>
      <c r="I33" s="796"/>
      <c r="J33" s="1106"/>
      <c r="N33" s="834">
        <f t="shared" si="0"/>
        <v>0</v>
      </c>
      <c r="P33" s="960">
        <f t="shared" si="1"/>
        <v>0</v>
      </c>
    </row>
    <row r="34" spans="1:16" ht="16.5" hidden="1" customHeight="1">
      <c r="A34" s="497" t="s">
        <v>795</v>
      </c>
      <c r="B34" s="498" t="s">
        <v>794</v>
      </c>
      <c r="C34" s="796"/>
      <c r="D34" s="503"/>
      <c r="E34" s="503"/>
      <c r="F34" s="503"/>
      <c r="G34" s="503"/>
      <c r="H34" s="796"/>
      <c r="I34" s="796"/>
      <c r="J34" s="1106"/>
      <c r="N34" s="834">
        <f t="shared" si="0"/>
        <v>0</v>
      </c>
      <c r="P34" s="960">
        <f t="shared" si="1"/>
        <v>0</v>
      </c>
    </row>
    <row r="35" spans="1:16" ht="16.5" hidden="1" customHeight="1">
      <c r="A35" s="497" t="s">
        <v>793</v>
      </c>
      <c r="B35" s="498" t="s">
        <v>786</v>
      </c>
      <c r="C35" s="796"/>
      <c r="D35" s="503"/>
      <c r="E35" s="503"/>
      <c r="F35" s="503"/>
      <c r="G35" s="503"/>
      <c r="H35" s="796"/>
      <c r="I35" s="796"/>
      <c r="J35" s="1106"/>
      <c r="N35" s="834">
        <f t="shared" si="0"/>
        <v>0</v>
      </c>
      <c r="P35" s="960">
        <f t="shared" si="1"/>
        <v>0</v>
      </c>
    </row>
    <row r="36" spans="1:16" ht="16.5" hidden="1" customHeight="1">
      <c r="A36" s="497" t="s">
        <v>792</v>
      </c>
      <c r="B36" s="498" t="s">
        <v>784</v>
      </c>
      <c r="C36" s="796"/>
      <c r="D36" s="503"/>
      <c r="E36" s="503"/>
      <c r="F36" s="503"/>
      <c r="G36" s="503"/>
      <c r="H36" s="796"/>
      <c r="I36" s="796"/>
      <c r="J36" s="1106"/>
      <c r="N36" s="834">
        <f t="shared" si="0"/>
        <v>0</v>
      </c>
      <c r="P36" s="960">
        <f t="shared" si="1"/>
        <v>0</v>
      </c>
    </row>
    <row r="37" spans="1:16" ht="16.5" hidden="1" customHeight="1">
      <c r="A37" s="497" t="s">
        <v>791</v>
      </c>
      <c r="B37" s="498" t="s">
        <v>790</v>
      </c>
      <c r="C37" s="796"/>
      <c r="D37" s="503"/>
      <c r="E37" s="503"/>
      <c r="F37" s="503"/>
      <c r="G37" s="503"/>
      <c r="H37" s="796"/>
      <c r="I37" s="796"/>
      <c r="J37" s="1106"/>
      <c r="N37" s="834">
        <f t="shared" si="0"/>
        <v>0</v>
      </c>
      <c r="P37" s="960">
        <f t="shared" si="1"/>
        <v>0</v>
      </c>
    </row>
    <row r="38" spans="1:16" ht="16.5" hidden="1" customHeight="1">
      <c r="A38" s="497" t="s">
        <v>789</v>
      </c>
      <c r="B38" s="498" t="s">
        <v>788</v>
      </c>
      <c r="C38" s="796"/>
      <c r="D38" s="503"/>
      <c r="E38" s="503"/>
      <c r="F38" s="503"/>
      <c r="G38" s="503"/>
      <c r="H38" s="796"/>
      <c r="I38" s="796"/>
      <c r="J38" s="1106"/>
      <c r="N38" s="834">
        <f t="shared" si="0"/>
        <v>0</v>
      </c>
      <c r="P38" s="960">
        <f t="shared" si="1"/>
        <v>0</v>
      </c>
    </row>
    <row r="39" spans="1:16" s="499" customFormat="1" ht="21.95" customHeight="1">
      <c r="A39" s="1180" t="s">
        <v>215</v>
      </c>
      <c r="B39" s="1181" t="s">
        <v>832</v>
      </c>
      <c r="C39" s="1182">
        <v>1.2270000000000001</v>
      </c>
      <c r="D39" s="1182">
        <v>1.5</v>
      </c>
      <c r="E39" s="1182">
        <v>0.91900000000000004</v>
      </c>
      <c r="F39" s="1182">
        <v>0.88100000000000001</v>
      </c>
      <c r="G39" s="1182">
        <v>1.8</v>
      </c>
      <c r="H39" s="1182">
        <v>1.2270000000000001</v>
      </c>
      <c r="I39" s="1183">
        <v>0.55000000000000004</v>
      </c>
      <c r="J39" s="1184">
        <v>3.3</v>
      </c>
      <c r="N39" s="834">
        <f t="shared" si="0"/>
        <v>0</v>
      </c>
      <c r="P39" s="960">
        <f t="shared" si="1"/>
        <v>0</v>
      </c>
    </row>
    <row r="40" spans="1:16" ht="16.5" customHeight="1">
      <c r="A40" s="1037" t="s">
        <v>216</v>
      </c>
      <c r="B40" s="1037" t="s">
        <v>217</v>
      </c>
      <c r="C40" s="554"/>
      <c r="D40" s="1106"/>
      <c r="E40" s="554"/>
      <c r="F40" s="554">
        <v>0</v>
      </c>
      <c r="G40" s="554"/>
      <c r="H40" s="554"/>
      <c r="I40" s="554"/>
      <c r="J40" s="1106"/>
      <c r="N40" s="834">
        <f t="shared" si="0"/>
        <v>0</v>
      </c>
      <c r="P40" s="960">
        <f t="shared" si="1"/>
        <v>0</v>
      </c>
    </row>
    <row r="41" spans="1:16" ht="16.5" customHeight="1">
      <c r="A41" s="1037" t="s">
        <v>218</v>
      </c>
      <c r="B41" s="1037" t="s">
        <v>219</v>
      </c>
      <c r="C41" s="554">
        <v>1.2270000000000001</v>
      </c>
      <c r="D41" s="1115">
        <v>1.5</v>
      </c>
      <c r="E41" s="554">
        <v>0.91900000000000004</v>
      </c>
      <c r="F41" s="554">
        <v>0.88100000000000001</v>
      </c>
      <c r="G41" s="554">
        <v>1.8</v>
      </c>
      <c r="H41" s="554">
        <v>1.2270000000000001</v>
      </c>
      <c r="I41" s="554">
        <v>0.55000000000000004</v>
      </c>
      <c r="J41" s="1115">
        <v>3.3</v>
      </c>
      <c r="N41" s="834">
        <f t="shared" si="0"/>
        <v>0</v>
      </c>
      <c r="P41" s="960">
        <f t="shared" si="1"/>
        <v>0</v>
      </c>
    </row>
    <row r="42" spans="1:16" s="499" customFormat="1" ht="30" hidden="1" customHeight="1">
      <c r="A42" s="1167" t="s">
        <v>220</v>
      </c>
      <c r="B42" s="1168" t="s">
        <v>846</v>
      </c>
      <c r="C42" s="1169"/>
      <c r="D42" s="1169">
        <v>0</v>
      </c>
      <c r="E42" s="1169"/>
      <c r="F42" s="1169"/>
      <c r="G42" s="1169">
        <v>0</v>
      </c>
      <c r="H42" s="1169"/>
      <c r="I42" s="1170">
        <v>0</v>
      </c>
      <c r="J42" s="1188"/>
      <c r="N42" s="834">
        <f t="shared" si="0"/>
        <v>0</v>
      </c>
      <c r="P42" s="960">
        <f t="shared" si="1"/>
        <v>0</v>
      </c>
    </row>
    <row r="43" spans="1:16" ht="16.5" hidden="1" customHeight="1">
      <c r="A43" s="497" t="s">
        <v>785</v>
      </c>
      <c r="B43" s="498" t="s">
        <v>784</v>
      </c>
      <c r="C43" s="796"/>
      <c r="D43" s="503"/>
      <c r="E43" s="503"/>
      <c r="F43" s="503"/>
      <c r="G43" s="503"/>
      <c r="H43" s="796"/>
      <c r="I43" s="796"/>
      <c r="J43" s="1106"/>
      <c r="N43" s="834">
        <f t="shared" si="0"/>
        <v>0</v>
      </c>
      <c r="P43" s="960">
        <f t="shared" si="1"/>
        <v>0</v>
      </c>
    </row>
    <row r="44" spans="1:16" ht="16.5" hidden="1" customHeight="1">
      <c r="A44" s="497" t="s">
        <v>783</v>
      </c>
      <c r="B44" s="498" t="s">
        <v>782</v>
      </c>
      <c r="C44" s="796"/>
      <c r="D44" s="503"/>
      <c r="E44" s="503"/>
      <c r="F44" s="503"/>
      <c r="G44" s="503"/>
      <c r="H44" s="796"/>
      <c r="I44" s="796"/>
      <c r="J44" s="1106"/>
      <c r="N44" s="834">
        <f t="shared" si="0"/>
        <v>0</v>
      </c>
      <c r="P44" s="960">
        <f t="shared" si="1"/>
        <v>0</v>
      </c>
    </row>
    <row r="45" spans="1:16" ht="16.5" hidden="1" customHeight="1">
      <c r="A45" s="497" t="s">
        <v>781</v>
      </c>
      <c r="B45" s="498" t="s">
        <v>780</v>
      </c>
      <c r="C45" s="796"/>
      <c r="D45" s="503"/>
      <c r="E45" s="503"/>
      <c r="F45" s="503"/>
      <c r="G45" s="503"/>
      <c r="H45" s="796"/>
      <c r="I45" s="796"/>
      <c r="J45" s="1106"/>
      <c r="N45" s="834">
        <f t="shared" si="0"/>
        <v>0</v>
      </c>
      <c r="P45" s="960">
        <f t="shared" si="1"/>
        <v>0</v>
      </c>
    </row>
    <row r="46" spans="1:16" ht="16.5" hidden="1" customHeight="1">
      <c r="A46" s="497" t="s">
        <v>221</v>
      </c>
      <c r="B46" s="498" t="s">
        <v>16</v>
      </c>
      <c r="C46" s="796"/>
      <c r="D46" s="503"/>
      <c r="E46" s="503"/>
      <c r="F46" s="503"/>
      <c r="G46" s="503"/>
      <c r="H46" s="796"/>
      <c r="I46" s="796"/>
      <c r="J46" s="1106"/>
      <c r="N46" s="834">
        <f t="shared" si="0"/>
        <v>0</v>
      </c>
      <c r="P46" s="960">
        <f t="shared" si="1"/>
        <v>0</v>
      </c>
    </row>
    <row r="47" spans="1:16" s="499" customFormat="1" ht="15">
      <c r="A47" s="481" t="s">
        <v>222</v>
      </c>
      <c r="B47" s="482" t="s">
        <v>845</v>
      </c>
      <c r="C47" s="516">
        <v>14.491000000000001</v>
      </c>
      <c r="D47" s="516">
        <v>21.354900000000001</v>
      </c>
      <c r="E47" s="516">
        <v>14.964</v>
      </c>
      <c r="F47" s="516">
        <v>5.9180000000000001</v>
      </c>
      <c r="G47" s="516">
        <v>20.882000000000001</v>
      </c>
      <c r="H47" s="516">
        <v>14.491000000000001</v>
      </c>
      <c r="I47" s="1058">
        <v>21.354900000000001</v>
      </c>
      <c r="J47" s="1104">
        <v>24.835000000000004</v>
      </c>
      <c r="N47" s="834">
        <f t="shared" si="0"/>
        <v>0</v>
      </c>
      <c r="P47" s="960">
        <f t="shared" si="1"/>
        <v>0</v>
      </c>
    </row>
    <row r="48" spans="1:16" ht="16.5" hidden="1" customHeight="1">
      <c r="A48" s="497" t="s">
        <v>223</v>
      </c>
      <c r="B48" s="498" t="s">
        <v>779</v>
      </c>
      <c r="C48" s="796"/>
      <c r="D48" s="503"/>
      <c r="E48" s="503"/>
      <c r="F48" s="503"/>
      <c r="G48" s="503"/>
      <c r="H48" s="796"/>
      <c r="I48" s="796"/>
      <c r="J48" s="1106"/>
      <c r="N48" s="834">
        <f t="shared" si="0"/>
        <v>0</v>
      </c>
      <c r="P48" s="960">
        <f t="shared" si="1"/>
        <v>0</v>
      </c>
    </row>
    <row r="49" spans="1:16" ht="16.5" hidden="1" customHeight="1">
      <c r="A49" s="1185" t="s">
        <v>224</v>
      </c>
      <c r="B49" s="1186" t="s">
        <v>778</v>
      </c>
      <c r="C49" s="1056"/>
      <c r="D49" s="984"/>
      <c r="E49" s="984"/>
      <c r="F49" s="984"/>
      <c r="G49" s="984"/>
      <c r="H49" s="1056"/>
      <c r="I49" s="1056"/>
      <c r="J49" s="1187"/>
      <c r="N49" s="834">
        <f t="shared" si="0"/>
        <v>0</v>
      </c>
      <c r="P49" s="960">
        <f t="shared" si="1"/>
        <v>0</v>
      </c>
    </row>
    <row r="50" spans="1:16" ht="16.5" customHeight="1">
      <c r="A50" s="1037" t="s">
        <v>225</v>
      </c>
      <c r="B50" s="1037" t="s">
        <v>777</v>
      </c>
      <c r="C50" s="554">
        <v>0.505</v>
      </c>
      <c r="D50" s="1106">
        <v>0.77990000000000004</v>
      </c>
      <c r="E50" s="554">
        <v>0.20699999999999999</v>
      </c>
      <c r="F50" s="554">
        <v>0.1</v>
      </c>
      <c r="G50" s="554">
        <v>0.307</v>
      </c>
      <c r="H50" s="554">
        <v>0.505</v>
      </c>
      <c r="I50" s="554">
        <v>0.77990000000000004</v>
      </c>
      <c r="J50" s="1106">
        <v>0.85799999999999998</v>
      </c>
      <c r="N50" s="834">
        <f t="shared" si="0"/>
        <v>0</v>
      </c>
      <c r="P50" s="960">
        <f t="shared" si="1"/>
        <v>0</v>
      </c>
    </row>
    <row r="51" spans="1:16" ht="16.5" hidden="1" customHeight="1">
      <c r="A51" s="1037" t="s">
        <v>226</v>
      </c>
      <c r="B51" s="1037" t="s">
        <v>776</v>
      </c>
      <c r="C51" s="554"/>
      <c r="D51" s="1106"/>
      <c r="E51" s="554"/>
      <c r="F51" s="554">
        <v>0</v>
      </c>
      <c r="G51" s="554">
        <v>0</v>
      </c>
      <c r="H51" s="554"/>
      <c r="I51" s="554"/>
      <c r="J51" s="1106"/>
      <c r="N51" s="834">
        <f t="shared" si="0"/>
        <v>0</v>
      </c>
      <c r="P51" s="960">
        <f t="shared" si="1"/>
        <v>0</v>
      </c>
    </row>
    <row r="52" spans="1:16" ht="16.5" customHeight="1">
      <c r="A52" s="1037" t="s">
        <v>227</v>
      </c>
      <c r="B52" s="1037" t="s">
        <v>775</v>
      </c>
      <c r="C52" s="554">
        <v>13.037000000000001</v>
      </c>
      <c r="D52" s="1106">
        <v>15.955</v>
      </c>
      <c r="E52" s="554">
        <v>13.692</v>
      </c>
      <c r="F52" s="554">
        <v>2.2629999999999999</v>
      </c>
      <c r="G52" s="554">
        <v>15.955</v>
      </c>
      <c r="H52" s="554">
        <v>13.037000000000001</v>
      </c>
      <c r="I52" s="554">
        <v>15.955</v>
      </c>
      <c r="J52" s="1106">
        <v>18.895000000000003</v>
      </c>
      <c r="N52" s="834">
        <f t="shared" si="0"/>
        <v>0</v>
      </c>
      <c r="P52" s="960">
        <f t="shared" si="1"/>
        <v>0</v>
      </c>
    </row>
    <row r="53" spans="1:16" ht="16.5" hidden="1" customHeight="1">
      <c r="A53" s="1037" t="s">
        <v>228</v>
      </c>
      <c r="B53" s="1037" t="s">
        <v>774</v>
      </c>
      <c r="C53" s="554"/>
      <c r="D53" s="1106"/>
      <c r="E53" s="554"/>
      <c r="F53" s="554">
        <v>0</v>
      </c>
      <c r="G53" s="554">
        <v>0</v>
      </c>
      <c r="H53" s="554"/>
      <c r="I53" s="554"/>
      <c r="J53" s="1106"/>
      <c r="N53" s="834">
        <f t="shared" si="0"/>
        <v>0</v>
      </c>
      <c r="P53" s="960">
        <f t="shared" si="1"/>
        <v>0</v>
      </c>
    </row>
    <row r="54" spans="1:16" ht="16.5" customHeight="1">
      <c r="A54" s="1037" t="s">
        <v>229</v>
      </c>
      <c r="B54" s="1037" t="s">
        <v>773</v>
      </c>
      <c r="C54" s="554">
        <v>0.94899999999999995</v>
      </c>
      <c r="D54" s="1106">
        <v>1.1000000000000001</v>
      </c>
      <c r="E54" s="554">
        <v>0.73799999999999999</v>
      </c>
      <c r="F54" s="554">
        <v>0.3620000000000001</v>
      </c>
      <c r="G54" s="554">
        <v>1.1000000000000001</v>
      </c>
      <c r="H54" s="554">
        <v>0.94899999999999995</v>
      </c>
      <c r="I54" s="554">
        <v>1.1000000000000001</v>
      </c>
      <c r="J54" s="1106">
        <v>1.21</v>
      </c>
      <c r="N54" s="834">
        <f t="shared" si="0"/>
        <v>0</v>
      </c>
      <c r="P54" s="960">
        <f t="shared" si="1"/>
        <v>0</v>
      </c>
    </row>
    <row r="55" spans="1:16" ht="16.5" customHeight="1">
      <c r="A55" s="1037" t="s">
        <v>230</v>
      </c>
      <c r="B55" s="1037" t="s">
        <v>772</v>
      </c>
      <c r="C55" s="554"/>
      <c r="D55" s="1106">
        <v>3.3</v>
      </c>
      <c r="E55" s="554">
        <v>0.22700000000000001</v>
      </c>
      <c r="F55" s="554">
        <v>3.073</v>
      </c>
      <c r="G55" s="554">
        <v>3.3</v>
      </c>
      <c r="H55" s="554"/>
      <c r="I55" s="554">
        <v>3.3</v>
      </c>
      <c r="J55" s="1106">
        <v>3.63</v>
      </c>
      <c r="N55" s="834">
        <f t="shared" si="0"/>
        <v>0</v>
      </c>
      <c r="P55" s="960">
        <f t="shared" si="1"/>
        <v>0</v>
      </c>
    </row>
    <row r="56" spans="1:16" ht="16.5" customHeight="1">
      <c r="A56" s="1037" t="s">
        <v>231</v>
      </c>
      <c r="B56" s="1037" t="s">
        <v>1136</v>
      </c>
      <c r="C56" s="554"/>
      <c r="D56" s="1106">
        <v>0.22000000000000003</v>
      </c>
      <c r="E56" s="554">
        <v>0.1</v>
      </c>
      <c r="F56" s="554">
        <v>0.12000000000000002</v>
      </c>
      <c r="G56" s="554">
        <v>0.22000000000000003</v>
      </c>
      <c r="H56" s="554"/>
      <c r="I56" s="554">
        <v>0.22000000000000003</v>
      </c>
      <c r="J56" s="1106">
        <v>0.24199999999999999</v>
      </c>
      <c r="N56" s="834">
        <f t="shared" si="0"/>
        <v>0</v>
      </c>
      <c r="P56" s="960">
        <f t="shared" si="1"/>
        <v>0</v>
      </c>
    </row>
    <row r="57" spans="1:16" s="499" customFormat="1" ht="30">
      <c r="A57" s="1172" t="s">
        <v>232</v>
      </c>
      <c r="B57" s="1173" t="s">
        <v>833</v>
      </c>
      <c r="C57" s="1174">
        <v>215.75399999999999</v>
      </c>
      <c r="D57" s="1174">
        <v>272.09899999999993</v>
      </c>
      <c r="E57" s="1174">
        <v>145.86500000000001</v>
      </c>
      <c r="F57" s="1174">
        <v>95.134999999999991</v>
      </c>
      <c r="G57" s="1174">
        <v>240.99999999999997</v>
      </c>
      <c r="H57" s="1174">
        <v>215.75399999999999</v>
      </c>
      <c r="I57" s="1175">
        <v>274.72399999999993</v>
      </c>
      <c r="J57" s="1176">
        <v>289.63299999999998</v>
      </c>
      <c r="M57" s="1132">
        <f>J57-393.092</f>
        <v>-103.459</v>
      </c>
      <c r="N57" s="834">
        <f t="shared" si="0"/>
        <v>0</v>
      </c>
      <c r="P57" s="960">
        <f t="shared" si="1"/>
        <v>0</v>
      </c>
    </row>
    <row r="58" spans="1:16" ht="16.5" customHeight="1">
      <c r="A58" s="1037" t="s">
        <v>233</v>
      </c>
      <c r="B58" s="1037" t="s">
        <v>234</v>
      </c>
      <c r="C58" s="554">
        <v>3.8159999999999998</v>
      </c>
      <c r="D58" s="1106">
        <v>8.7799999999999976</v>
      </c>
      <c r="E58" s="554">
        <v>4.6909999999999998</v>
      </c>
      <c r="F58" s="554">
        <v>4.0889999999999977</v>
      </c>
      <c r="G58" s="554">
        <v>8.7799999999999976</v>
      </c>
      <c r="H58" s="554">
        <v>3.8159999999999998</v>
      </c>
      <c r="I58" s="554">
        <v>8.7799999999999976</v>
      </c>
      <c r="J58" s="1106">
        <v>9.6980000000000004</v>
      </c>
      <c r="M58" s="495">
        <f>73.5+3.396</f>
        <v>76.896000000000001</v>
      </c>
      <c r="N58" s="834">
        <f t="shared" si="0"/>
        <v>0</v>
      </c>
      <c r="P58" s="960">
        <f t="shared" si="1"/>
        <v>0</v>
      </c>
    </row>
    <row r="59" spans="1:16" ht="16.5" customHeight="1">
      <c r="A59" s="1037" t="s">
        <v>235</v>
      </c>
      <c r="B59" s="1037" t="s">
        <v>771</v>
      </c>
      <c r="C59" s="554">
        <v>5.1379999999999999</v>
      </c>
      <c r="D59" s="1106">
        <v>18.68</v>
      </c>
      <c r="E59" s="554">
        <v>13.763999999999999</v>
      </c>
      <c r="F59" s="554">
        <v>4.9160000000000004</v>
      </c>
      <c r="G59" s="554">
        <v>18.68</v>
      </c>
      <c r="H59" s="554">
        <v>5.1379999999999999</v>
      </c>
      <c r="I59" s="554">
        <v>18.68</v>
      </c>
      <c r="J59" s="1106">
        <v>20.547999999999998</v>
      </c>
      <c r="N59" s="834">
        <f t="shared" si="0"/>
        <v>0</v>
      </c>
      <c r="P59" s="960">
        <f t="shared" si="1"/>
        <v>0</v>
      </c>
    </row>
    <row r="60" spans="1:16" ht="27" customHeight="1">
      <c r="A60" s="1037" t="s">
        <v>236</v>
      </c>
      <c r="B60" s="1037" t="s">
        <v>770</v>
      </c>
      <c r="C60" s="554">
        <v>0.02</v>
      </c>
      <c r="D60" s="1106">
        <v>2.2000000000000002</v>
      </c>
      <c r="E60" s="554">
        <v>0.08</v>
      </c>
      <c r="F60" s="554">
        <v>2.12</v>
      </c>
      <c r="G60" s="554">
        <v>2.2000000000000002</v>
      </c>
      <c r="H60" s="554">
        <v>0.02</v>
      </c>
      <c r="I60" s="554">
        <v>2.2000000000000002</v>
      </c>
      <c r="J60" s="1106">
        <v>2.42</v>
      </c>
      <c r="N60" s="834">
        <f t="shared" si="0"/>
        <v>0</v>
      </c>
      <c r="P60" s="960">
        <f t="shared" si="1"/>
        <v>0</v>
      </c>
    </row>
    <row r="61" spans="1:16" ht="16.5" customHeight="1">
      <c r="A61" s="1037" t="s">
        <v>237</v>
      </c>
      <c r="B61" s="1037" t="s">
        <v>769</v>
      </c>
      <c r="C61" s="554">
        <v>3.7999999999999999E-2</v>
      </c>
      <c r="D61" s="1106">
        <v>1.1000000000000001</v>
      </c>
      <c r="E61" s="554">
        <v>0.17</v>
      </c>
      <c r="F61" s="554">
        <v>0.93</v>
      </c>
      <c r="G61" s="554">
        <v>1.1000000000000001</v>
      </c>
      <c r="H61" s="554">
        <v>3.7999999999999999E-2</v>
      </c>
      <c r="I61" s="554">
        <v>1.1000000000000001</v>
      </c>
      <c r="J61" s="1106">
        <v>1.21</v>
      </c>
      <c r="N61" s="834">
        <f t="shared" si="0"/>
        <v>0</v>
      </c>
      <c r="P61" s="960">
        <f t="shared" si="1"/>
        <v>0</v>
      </c>
    </row>
    <row r="62" spans="1:16" ht="16.5" hidden="1" customHeight="1">
      <c r="A62" s="1037" t="s">
        <v>238</v>
      </c>
      <c r="B62" s="1037" t="s">
        <v>768</v>
      </c>
      <c r="C62" s="554"/>
      <c r="D62" s="1106"/>
      <c r="E62" s="554"/>
      <c r="F62" s="554">
        <v>0</v>
      </c>
      <c r="G62" s="554">
        <v>0</v>
      </c>
      <c r="H62" s="554"/>
      <c r="I62" s="554">
        <v>0</v>
      </c>
      <c r="J62" s="1106"/>
      <c r="N62" s="834">
        <f t="shared" si="0"/>
        <v>0</v>
      </c>
      <c r="P62" s="960">
        <f t="shared" si="1"/>
        <v>0</v>
      </c>
    </row>
    <row r="63" spans="1:16" ht="16.5" customHeight="1">
      <c r="A63" s="1037" t="s">
        <v>239</v>
      </c>
      <c r="B63" s="1037" t="s">
        <v>767</v>
      </c>
      <c r="C63" s="554">
        <v>0.38700000000000001</v>
      </c>
      <c r="D63" s="1106">
        <v>3.5</v>
      </c>
      <c r="E63" s="554">
        <v>6.4000000000000001E-2</v>
      </c>
      <c r="F63" s="554">
        <v>3.4359999999999999</v>
      </c>
      <c r="G63" s="554">
        <v>3.5</v>
      </c>
      <c r="H63" s="554">
        <v>0.38700000000000001</v>
      </c>
      <c r="I63" s="554">
        <v>3.5</v>
      </c>
      <c r="J63" s="1106">
        <v>1</v>
      </c>
      <c r="N63" s="834">
        <f t="shared" si="0"/>
        <v>0</v>
      </c>
      <c r="P63" s="960">
        <f t="shared" si="1"/>
        <v>0</v>
      </c>
    </row>
    <row r="64" spans="1:16" ht="16.5" customHeight="1">
      <c r="A64" s="1037" t="s">
        <v>240</v>
      </c>
      <c r="B64" s="1037" t="s">
        <v>766</v>
      </c>
      <c r="C64" s="554">
        <v>0.66</v>
      </c>
      <c r="D64" s="1106">
        <v>1.5</v>
      </c>
      <c r="E64" s="554"/>
      <c r="F64" s="554">
        <v>1.5</v>
      </c>
      <c r="G64" s="554">
        <v>1.5</v>
      </c>
      <c r="H64" s="554">
        <v>0.66</v>
      </c>
      <c r="I64" s="554">
        <v>1.5</v>
      </c>
      <c r="J64" s="1106">
        <v>1.65</v>
      </c>
      <c r="N64" s="834">
        <f t="shared" si="0"/>
        <v>0</v>
      </c>
      <c r="P64" s="960">
        <f t="shared" si="1"/>
        <v>0</v>
      </c>
    </row>
    <row r="65" spans="1:16" ht="16.5" customHeight="1">
      <c r="A65" s="1037" t="s">
        <v>241</v>
      </c>
      <c r="B65" s="1037" t="s">
        <v>765</v>
      </c>
      <c r="C65" s="554">
        <v>2.427</v>
      </c>
      <c r="D65" s="1106">
        <v>2.2000000000000002</v>
      </c>
      <c r="E65" s="554">
        <v>1.5169999999999999</v>
      </c>
      <c r="F65" s="554">
        <v>0.68300000000000027</v>
      </c>
      <c r="G65" s="554">
        <v>2.2000000000000002</v>
      </c>
      <c r="H65" s="554">
        <v>2.427</v>
      </c>
      <c r="I65" s="554">
        <v>2.2000000000000002</v>
      </c>
      <c r="J65" s="1106">
        <v>3.3</v>
      </c>
      <c r="N65" s="834">
        <f t="shared" si="0"/>
        <v>0</v>
      </c>
      <c r="P65" s="960">
        <f t="shared" si="1"/>
        <v>0</v>
      </c>
    </row>
    <row r="66" spans="1:16" ht="26.25" hidden="1" customHeight="1">
      <c r="A66" s="1037" t="s">
        <v>242</v>
      </c>
      <c r="B66" s="1037" t="s">
        <v>1383</v>
      </c>
      <c r="C66" s="554"/>
      <c r="D66" s="1106"/>
      <c r="E66" s="554"/>
      <c r="F66" s="554">
        <v>0</v>
      </c>
      <c r="G66" s="554">
        <v>0</v>
      </c>
      <c r="H66" s="554"/>
      <c r="I66" s="554">
        <v>0</v>
      </c>
      <c r="J66" s="1106"/>
      <c r="N66" s="834">
        <f t="shared" si="0"/>
        <v>0</v>
      </c>
      <c r="P66" s="960">
        <f t="shared" si="1"/>
        <v>0</v>
      </c>
    </row>
    <row r="67" spans="1:16" ht="16.5" hidden="1" customHeight="1">
      <c r="A67" s="1037" t="s">
        <v>243</v>
      </c>
      <c r="B67" s="1037" t="s">
        <v>763</v>
      </c>
      <c r="C67" s="554"/>
      <c r="D67" s="1106"/>
      <c r="E67" s="554"/>
      <c r="F67" s="554">
        <v>0</v>
      </c>
      <c r="G67" s="554">
        <v>0</v>
      </c>
      <c r="H67" s="554"/>
      <c r="I67" s="554">
        <v>0</v>
      </c>
      <c r="J67" s="1106"/>
      <c r="N67" s="834">
        <f t="shared" si="0"/>
        <v>0</v>
      </c>
      <c r="P67" s="960">
        <f t="shared" si="1"/>
        <v>0</v>
      </c>
    </row>
    <row r="68" spans="1:16" ht="24.75" hidden="1" customHeight="1">
      <c r="A68" s="1037" t="s">
        <v>244</v>
      </c>
      <c r="B68" s="1037" t="s">
        <v>762</v>
      </c>
      <c r="C68" s="554"/>
      <c r="D68" s="1106"/>
      <c r="E68" s="554"/>
      <c r="F68" s="554">
        <v>0</v>
      </c>
      <c r="G68" s="554">
        <v>0</v>
      </c>
      <c r="H68" s="554"/>
      <c r="I68" s="554">
        <v>0</v>
      </c>
      <c r="J68" s="1106"/>
      <c r="N68" s="834">
        <f t="shared" si="0"/>
        <v>0</v>
      </c>
      <c r="P68" s="960">
        <f t="shared" si="1"/>
        <v>0</v>
      </c>
    </row>
    <row r="69" spans="1:16" ht="16.5" hidden="1" customHeight="1">
      <c r="A69" s="1037" t="s">
        <v>245</v>
      </c>
      <c r="B69" s="1037" t="s">
        <v>761</v>
      </c>
      <c r="C69" s="554"/>
      <c r="D69" s="1106"/>
      <c r="E69" s="554"/>
      <c r="F69" s="554">
        <v>0</v>
      </c>
      <c r="G69" s="554">
        <v>0</v>
      </c>
      <c r="H69" s="554"/>
      <c r="I69" s="554">
        <v>0</v>
      </c>
      <c r="J69" s="1106"/>
      <c r="N69" s="834">
        <f t="shared" si="0"/>
        <v>0</v>
      </c>
      <c r="P69" s="960">
        <f t="shared" si="1"/>
        <v>0</v>
      </c>
    </row>
    <row r="70" spans="1:16" ht="16.5" customHeight="1">
      <c r="A70" s="1037" t="s">
        <v>246</v>
      </c>
      <c r="B70" s="1037" t="s">
        <v>760</v>
      </c>
      <c r="C70" s="554">
        <v>1.4E-2</v>
      </c>
      <c r="D70" s="1106">
        <v>0.22000000000000003</v>
      </c>
      <c r="E70" s="554">
        <v>7.3999999999999996E-2</v>
      </c>
      <c r="F70" s="554">
        <v>0.14600000000000002</v>
      </c>
      <c r="G70" s="554">
        <v>0.22000000000000003</v>
      </c>
      <c r="H70" s="554">
        <v>1.4E-2</v>
      </c>
      <c r="I70" s="554">
        <v>0.22000000000000003</v>
      </c>
      <c r="J70" s="1106">
        <v>0.24199999999999999</v>
      </c>
      <c r="N70" s="834">
        <f t="shared" si="0"/>
        <v>0</v>
      </c>
      <c r="P70" s="960">
        <f t="shared" si="1"/>
        <v>0</v>
      </c>
    </row>
    <row r="71" spans="1:16" ht="26.25" customHeight="1">
      <c r="A71" s="1037" t="s">
        <v>247</v>
      </c>
      <c r="B71" s="1193" t="s">
        <v>759</v>
      </c>
      <c r="C71" s="554">
        <v>0.44500000000000001</v>
      </c>
      <c r="D71" s="1106">
        <v>0.8</v>
      </c>
      <c r="E71" s="554"/>
      <c r="F71" s="554">
        <v>0.8</v>
      </c>
      <c r="G71" s="554">
        <v>0.8</v>
      </c>
      <c r="H71" s="554">
        <v>0.44500000000000001</v>
      </c>
      <c r="I71" s="554">
        <v>0.8</v>
      </c>
      <c r="J71" s="1106">
        <v>0.88</v>
      </c>
      <c r="N71" s="834">
        <f t="shared" si="0"/>
        <v>0</v>
      </c>
      <c r="P71" s="960">
        <f t="shared" si="1"/>
        <v>0</v>
      </c>
    </row>
    <row r="72" spans="1:16" ht="24" customHeight="1">
      <c r="A72" s="1037" t="s">
        <v>248</v>
      </c>
      <c r="B72" s="1037" t="s">
        <v>758</v>
      </c>
      <c r="C72" s="554">
        <v>8.8640000000000008</v>
      </c>
      <c r="D72" s="1106">
        <v>11</v>
      </c>
      <c r="E72" s="554">
        <v>8.9979999999999993</v>
      </c>
      <c r="F72" s="554">
        <v>2.0020000000000007</v>
      </c>
      <c r="G72" s="554">
        <v>11</v>
      </c>
      <c r="H72" s="554">
        <v>8.8640000000000008</v>
      </c>
      <c r="I72" s="554">
        <v>11</v>
      </c>
      <c r="J72" s="1106">
        <v>15</v>
      </c>
      <c r="N72" s="834">
        <f t="shared" si="0"/>
        <v>0</v>
      </c>
      <c r="P72" s="960">
        <f t="shared" si="1"/>
        <v>0</v>
      </c>
    </row>
    <row r="73" spans="1:16" ht="16.5" hidden="1" customHeight="1">
      <c r="A73" s="1037" t="s">
        <v>249</v>
      </c>
      <c r="B73" s="1037" t="s">
        <v>757</v>
      </c>
      <c r="C73" s="554"/>
      <c r="D73" s="1106"/>
      <c r="E73" s="554"/>
      <c r="F73" s="554">
        <v>0</v>
      </c>
      <c r="G73" s="554">
        <v>0</v>
      </c>
      <c r="H73" s="554"/>
      <c r="I73" s="554">
        <v>0</v>
      </c>
      <c r="J73" s="1106"/>
      <c r="N73" s="834">
        <f t="shared" si="0"/>
        <v>0</v>
      </c>
      <c r="P73" s="960">
        <f t="shared" si="1"/>
        <v>0</v>
      </c>
    </row>
    <row r="74" spans="1:16" ht="16.5" hidden="1" customHeight="1">
      <c r="A74" s="1037" t="s">
        <v>250</v>
      </c>
      <c r="B74" s="1037" t="s">
        <v>756</v>
      </c>
      <c r="C74" s="554"/>
      <c r="D74" s="1106"/>
      <c r="E74" s="554"/>
      <c r="F74" s="554">
        <v>0</v>
      </c>
      <c r="G74" s="554">
        <v>0</v>
      </c>
      <c r="H74" s="554"/>
      <c r="I74" s="554">
        <v>0</v>
      </c>
      <c r="J74" s="1106"/>
      <c r="N74" s="834">
        <f t="shared" ref="N74:N137" si="2">+E74+F74-G74</f>
        <v>0</v>
      </c>
      <c r="P74" s="960">
        <f t="shared" ref="P74:P138" si="3">+E74+F74-G74</f>
        <v>0</v>
      </c>
    </row>
    <row r="75" spans="1:16" ht="16.5" hidden="1" customHeight="1">
      <c r="A75" s="1037" t="s">
        <v>251</v>
      </c>
      <c r="B75" s="1037" t="s">
        <v>755</v>
      </c>
      <c r="C75" s="554"/>
      <c r="D75" s="1106"/>
      <c r="E75" s="554"/>
      <c r="F75" s="554">
        <v>0</v>
      </c>
      <c r="G75" s="554">
        <v>0</v>
      </c>
      <c r="H75" s="554"/>
      <c r="I75" s="554">
        <v>0</v>
      </c>
      <c r="J75" s="1106"/>
      <c r="N75" s="834">
        <f t="shared" si="2"/>
        <v>0</v>
      </c>
      <c r="P75" s="960">
        <f t="shared" si="3"/>
        <v>0</v>
      </c>
    </row>
    <row r="76" spans="1:16" ht="16.5" customHeight="1">
      <c r="A76" s="1037" t="s">
        <v>252</v>
      </c>
      <c r="B76" s="1037" t="s">
        <v>754</v>
      </c>
      <c r="C76" s="554"/>
      <c r="D76" s="1106">
        <v>0.22000000000000003</v>
      </c>
      <c r="E76" s="554"/>
      <c r="F76" s="554">
        <v>0.22000000000000003</v>
      </c>
      <c r="G76" s="554">
        <v>0.22000000000000003</v>
      </c>
      <c r="H76" s="554"/>
      <c r="I76" s="554">
        <v>0.22000000000000003</v>
      </c>
      <c r="J76" s="1106">
        <v>0.24199999999999999</v>
      </c>
      <c r="N76" s="834">
        <f t="shared" si="2"/>
        <v>0</v>
      </c>
      <c r="P76" s="960">
        <f t="shared" si="3"/>
        <v>0</v>
      </c>
    </row>
    <row r="77" spans="1:16" ht="16.5" customHeight="1">
      <c r="A77" s="1037" t="s">
        <v>253</v>
      </c>
      <c r="B77" s="1037" t="s">
        <v>753</v>
      </c>
      <c r="C77" s="554">
        <v>11.963000000000001</v>
      </c>
      <c r="D77" s="1106">
        <v>12</v>
      </c>
      <c r="E77" s="554">
        <v>7.9880000000000004</v>
      </c>
      <c r="F77" s="554">
        <v>4.0119999999999996</v>
      </c>
      <c r="G77" s="554">
        <v>12</v>
      </c>
      <c r="H77" s="554">
        <v>11.963000000000001</v>
      </c>
      <c r="I77" s="554">
        <v>17.624999999999996</v>
      </c>
      <c r="J77" s="1106">
        <v>18.987999999999996</v>
      </c>
      <c r="N77" s="834">
        <f t="shared" si="2"/>
        <v>0</v>
      </c>
      <c r="P77" s="960">
        <f t="shared" si="3"/>
        <v>0</v>
      </c>
    </row>
    <row r="78" spans="1:16" ht="16.5" hidden="1" customHeight="1">
      <c r="A78" s="1037" t="s">
        <v>254</v>
      </c>
      <c r="B78" s="1037" t="s">
        <v>752</v>
      </c>
      <c r="C78" s="554"/>
      <c r="D78" s="1106"/>
      <c r="E78" s="554"/>
      <c r="F78" s="554">
        <v>0</v>
      </c>
      <c r="G78" s="554">
        <v>0</v>
      </c>
      <c r="H78" s="554"/>
      <c r="I78" s="554">
        <v>0</v>
      </c>
      <c r="J78" s="1106"/>
      <c r="N78" s="834">
        <f t="shared" si="2"/>
        <v>0</v>
      </c>
      <c r="P78" s="960">
        <f t="shared" si="3"/>
        <v>0</v>
      </c>
    </row>
    <row r="79" spans="1:16" ht="16.5" customHeight="1">
      <c r="A79" s="1037" t="s">
        <v>751</v>
      </c>
      <c r="B79" s="1037" t="s">
        <v>750</v>
      </c>
      <c r="C79" s="554">
        <v>10.576000000000001</v>
      </c>
      <c r="D79" s="1106">
        <v>17.610000000000003</v>
      </c>
      <c r="E79" s="554">
        <v>1.5329999999999999</v>
      </c>
      <c r="F79" s="554">
        <v>16.077000000000002</v>
      </c>
      <c r="G79" s="554">
        <v>17.610000000000003</v>
      </c>
      <c r="H79" s="554">
        <v>10.576000000000001</v>
      </c>
      <c r="I79" s="554">
        <v>17.610000000000003</v>
      </c>
      <c r="J79" s="1106">
        <v>19.470999999999997</v>
      </c>
      <c r="N79" s="834">
        <f t="shared" si="2"/>
        <v>0</v>
      </c>
      <c r="P79" s="960">
        <f t="shared" si="3"/>
        <v>0</v>
      </c>
    </row>
    <row r="80" spans="1:16" ht="16.5" customHeight="1">
      <c r="A80" s="1037" t="s">
        <v>749</v>
      </c>
      <c r="B80" s="1037" t="s">
        <v>1350</v>
      </c>
      <c r="C80" s="554">
        <v>3.4689999999999999</v>
      </c>
      <c r="D80" s="1106">
        <v>8.7850000000000001</v>
      </c>
      <c r="E80" s="554">
        <v>1.9219999999999999</v>
      </c>
      <c r="F80" s="554">
        <v>6.8630000000000004</v>
      </c>
      <c r="G80" s="554">
        <v>8.7850000000000001</v>
      </c>
      <c r="H80" s="554">
        <v>3.4689999999999999</v>
      </c>
      <c r="I80" s="554">
        <v>8.7850000000000001</v>
      </c>
      <c r="J80" s="1106">
        <v>9.7739999999999956</v>
      </c>
      <c r="N80" s="834">
        <f t="shared" si="2"/>
        <v>0</v>
      </c>
      <c r="P80" s="960">
        <f t="shared" si="3"/>
        <v>0</v>
      </c>
    </row>
    <row r="81" spans="1:16" ht="16.5" hidden="1" customHeight="1">
      <c r="A81" s="1037" t="s">
        <v>747</v>
      </c>
      <c r="B81" s="1037" t="s">
        <v>746</v>
      </c>
      <c r="C81" s="554"/>
      <c r="D81" s="1106"/>
      <c r="E81" s="554"/>
      <c r="F81" s="554">
        <v>0</v>
      </c>
      <c r="G81" s="554">
        <v>0</v>
      </c>
      <c r="H81" s="554"/>
      <c r="I81" s="554"/>
      <c r="J81" s="1106"/>
      <c r="N81" s="834">
        <f t="shared" si="2"/>
        <v>0</v>
      </c>
      <c r="P81" s="960">
        <f t="shared" si="3"/>
        <v>0</v>
      </c>
    </row>
    <row r="82" spans="1:16" ht="16.5" hidden="1" customHeight="1">
      <c r="A82" s="1037" t="s">
        <v>255</v>
      </c>
      <c r="B82" s="1037" t="s">
        <v>745</v>
      </c>
      <c r="C82" s="554"/>
      <c r="D82" s="1106"/>
      <c r="E82" s="554"/>
      <c r="F82" s="554">
        <v>0</v>
      </c>
      <c r="G82" s="554">
        <v>0</v>
      </c>
      <c r="H82" s="554"/>
      <c r="I82" s="554"/>
      <c r="J82" s="1106"/>
      <c r="N82" s="834">
        <f t="shared" si="2"/>
        <v>0</v>
      </c>
      <c r="P82" s="960">
        <f t="shared" si="3"/>
        <v>0</v>
      </c>
    </row>
    <row r="83" spans="1:16" ht="16.5" customHeight="1">
      <c r="A83" s="1037" t="s">
        <v>256</v>
      </c>
      <c r="B83" s="1037" t="s">
        <v>16</v>
      </c>
      <c r="C83" s="554"/>
      <c r="D83" s="1106"/>
      <c r="E83" s="554"/>
      <c r="F83" s="554">
        <v>0</v>
      </c>
      <c r="G83" s="554">
        <v>0</v>
      </c>
      <c r="H83" s="554"/>
      <c r="I83" s="554"/>
      <c r="J83" s="1106"/>
      <c r="N83" s="834">
        <f t="shared" si="2"/>
        <v>0</v>
      </c>
      <c r="P83" s="960">
        <f t="shared" si="3"/>
        <v>0</v>
      </c>
    </row>
    <row r="84" spans="1:16" ht="25.5" hidden="1">
      <c r="A84" s="1037" t="s">
        <v>257</v>
      </c>
      <c r="B84" s="1037" t="s">
        <v>1003</v>
      </c>
      <c r="C84" s="554"/>
      <c r="D84" s="1106"/>
      <c r="E84" s="554"/>
      <c r="F84" s="554">
        <v>0</v>
      </c>
      <c r="G84" s="554">
        <v>0</v>
      </c>
      <c r="H84" s="554"/>
      <c r="I84" s="554"/>
      <c r="J84" s="1106"/>
      <c r="N84" s="834">
        <f t="shared" si="2"/>
        <v>0</v>
      </c>
      <c r="P84" s="960">
        <f t="shared" si="3"/>
        <v>0</v>
      </c>
    </row>
    <row r="85" spans="1:16" ht="31.5" hidden="1" customHeight="1">
      <c r="A85" s="1037" t="s">
        <v>258</v>
      </c>
      <c r="B85" s="1037" t="s">
        <v>999</v>
      </c>
      <c r="C85" s="554"/>
      <c r="D85" s="1106"/>
      <c r="E85" s="554"/>
      <c r="F85" s="554">
        <v>0</v>
      </c>
      <c r="G85" s="554">
        <v>0</v>
      </c>
      <c r="H85" s="554"/>
      <c r="I85" s="554">
        <v>0</v>
      </c>
      <c r="J85" s="1106"/>
      <c r="N85" s="834">
        <f t="shared" si="2"/>
        <v>0</v>
      </c>
      <c r="P85" s="960">
        <f t="shared" si="3"/>
        <v>0</v>
      </c>
    </row>
    <row r="86" spans="1:16" ht="25.5" hidden="1">
      <c r="A86" s="1037" t="s">
        <v>259</v>
      </c>
      <c r="B86" s="1037" t="s">
        <v>1004</v>
      </c>
      <c r="C86" s="554"/>
      <c r="D86" s="1106"/>
      <c r="E86" s="554"/>
      <c r="F86" s="554">
        <v>0</v>
      </c>
      <c r="G86" s="554">
        <v>0</v>
      </c>
      <c r="H86" s="554"/>
      <c r="I86" s="554">
        <v>0</v>
      </c>
      <c r="J86" s="1106"/>
      <c r="N86" s="834">
        <f t="shared" si="2"/>
        <v>0</v>
      </c>
      <c r="P86" s="960">
        <f t="shared" si="3"/>
        <v>0</v>
      </c>
    </row>
    <row r="87" spans="1:16" ht="16.5" customHeight="1">
      <c r="A87" s="1037" t="s">
        <v>260</v>
      </c>
      <c r="B87" s="1037" t="s">
        <v>1000</v>
      </c>
      <c r="C87" s="554">
        <v>64.284999999999997</v>
      </c>
      <c r="D87" s="1106">
        <v>70</v>
      </c>
      <c r="E87" s="554">
        <v>50.341000000000001</v>
      </c>
      <c r="F87" s="554">
        <v>10</v>
      </c>
      <c r="G87" s="554">
        <v>60.341000000000001</v>
      </c>
      <c r="H87" s="554">
        <v>64.284999999999997</v>
      </c>
      <c r="I87" s="554">
        <v>70</v>
      </c>
      <c r="J87" s="1106">
        <v>77</v>
      </c>
      <c r="N87" s="834">
        <f t="shared" si="2"/>
        <v>0</v>
      </c>
      <c r="P87" s="960">
        <f t="shared" si="3"/>
        <v>0</v>
      </c>
    </row>
    <row r="88" spans="1:16" ht="16.5" customHeight="1">
      <c r="A88" s="1037" t="s">
        <v>237</v>
      </c>
      <c r="B88" s="1037" t="s">
        <v>1001</v>
      </c>
      <c r="C88" s="554">
        <v>6.0519999999999996</v>
      </c>
      <c r="D88" s="1106">
        <v>6.7</v>
      </c>
      <c r="E88" s="554">
        <v>2.3940000000000001</v>
      </c>
      <c r="F88" s="554">
        <v>4.306</v>
      </c>
      <c r="G88" s="554">
        <v>6.7</v>
      </c>
      <c r="H88" s="554">
        <v>6.0519999999999996</v>
      </c>
      <c r="I88" s="554">
        <v>6.7</v>
      </c>
      <c r="J88" s="1106">
        <v>6</v>
      </c>
      <c r="N88" s="834">
        <f t="shared" si="2"/>
        <v>0</v>
      </c>
      <c r="P88" s="960">
        <f t="shared" si="3"/>
        <v>0</v>
      </c>
    </row>
    <row r="89" spans="1:16" ht="26.25" customHeight="1">
      <c r="A89" s="1037" t="s">
        <v>997</v>
      </c>
      <c r="B89" s="1037" t="s">
        <v>1384</v>
      </c>
      <c r="C89" s="554">
        <v>10.029</v>
      </c>
      <c r="D89" s="1106">
        <v>11</v>
      </c>
      <c r="E89" s="554"/>
      <c r="F89" s="554">
        <v>16</v>
      </c>
      <c r="G89" s="554">
        <v>16</v>
      </c>
      <c r="H89" s="554">
        <v>10.029</v>
      </c>
      <c r="I89" s="554">
        <v>11</v>
      </c>
      <c r="J89" s="1106">
        <v>15</v>
      </c>
      <c r="N89" s="834">
        <f t="shared" si="2"/>
        <v>0</v>
      </c>
      <c r="P89" s="960">
        <f t="shared" si="3"/>
        <v>0</v>
      </c>
    </row>
    <row r="90" spans="1:16" ht="26.25" customHeight="1">
      <c r="A90" s="1037" t="s">
        <v>998</v>
      </c>
      <c r="B90" s="1037" t="s">
        <v>1002</v>
      </c>
      <c r="C90" s="554">
        <v>24.8</v>
      </c>
      <c r="D90" s="1106">
        <v>25</v>
      </c>
      <c r="E90" s="554">
        <v>14.855</v>
      </c>
      <c r="F90" s="554">
        <v>5</v>
      </c>
      <c r="G90" s="554">
        <v>19.855</v>
      </c>
      <c r="H90" s="554">
        <v>24.8</v>
      </c>
      <c r="I90" s="554">
        <v>22</v>
      </c>
      <c r="J90" s="1106">
        <v>20</v>
      </c>
      <c r="N90" s="834">
        <f t="shared" si="2"/>
        <v>0</v>
      </c>
      <c r="P90" s="960">
        <f t="shared" si="3"/>
        <v>0</v>
      </c>
    </row>
    <row r="91" spans="1:16" ht="30" customHeight="1">
      <c r="A91" s="447" t="s">
        <v>1163</v>
      </c>
      <c r="B91" s="1038" t="s">
        <v>1164</v>
      </c>
      <c r="C91" s="554">
        <v>0.59</v>
      </c>
      <c r="D91" s="1106">
        <v>1.1000000000000001</v>
      </c>
      <c r="E91" s="554">
        <v>0.16500000000000001</v>
      </c>
      <c r="F91" s="554">
        <v>0.93500000000000005</v>
      </c>
      <c r="G91" s="554">
        <v>1.1000000000000001</v>
      </c>
      <c r="H91" s="554">
        <v>0.59</v>
      </c>
      <c r="I91" s="554">
        <v>1.1000000000000001</v>
      </c>
      <c r="J91" s="1106">
        <v>1.21</v>
      </c>
      <c r="N91" s="834">
        <f t="shared" si="2"/>
        <v>0</v>
      </c>
      <c r="P91" s="960">
        <f t="shared" si="3"/>
        <v>0</v>
      </c>
    </row>
    <row r="92" spans="1:16" ht="25.5">
      <c r="A92" s="447" t="s">
        <v>1165</v>
      </c>
      <c r="B92" s="1038" t="s">
        <v>1166</v>
      </c>
      <c r="C92" s="554">
        <v>4.266</v>
      </c>
      <c r="D92" s="1106">
        <v>6.6</v>
      </c>
      <c r="E92" s="554"/>
      <c r="F92" s="554">
        <v>1</v>
      </c>
      <c r="G92" s="554">
        <v>1</v>
      </c>
      <c r="H92" s="554">
        <v>4.266</v>
      </c>
      <c r="I92" s="554">
        <v>6.6</v>
      </c>
      <c r="J92" s="1106"/>
      <c r="N92" s="834">
        <f t="shared" si="2"/>
        <v>0</v>
      </c>
      <c r="P92" s="960">
        <f t="shared" si="3"/>
        <v>0</v>
      </c>
    </row>
    <row r="93" spans="1:16" ht="25.5">
      <c r="A93" s="447" t="s">
        <v>1167</v>
      </c>
      <c r="B93" s="1038" t="s">
        <v>1168</v>
      </c>
      <c r="C93" s="554">
        <v>57.89</v>
      </c>
      <c r="D93" s="1106">
        <v>61.893999999999998</v>
      </c>
      <c r="E93" s="554">
        <v>37.308999999999997</v>
      </c>
      <c r="F93" s="554">
        <v>10</v>
      </c>
      <c r="G93" s="554">
        <v>47.308999999999997</v>
      </c>
      <c r="H93" s="554">
        <v>57.89</v>
      </c>
      <c r="I93" s="554">
        <v>61.893999999999998</v>
      </c>
      <c r="J93" s="1106">
        <v>65</v>
      </c>
      <c r="N93" s="834">
        <f t="shared" si="2"/>
        <v>0</v>
      </c>
      <c r="P93" s="960">
        <f t="shared" si="3"/>
        <v>0</v>
      </c>
    </row>
    <row r="94" spans="1:16" ht="18" customHeight="1">
      <c r="A94" s="447" t="s">
        <v>1169</v>
      </c>
      <c r="B94" s="1038" t="s">
        <v>1170</v>
      </c>
      <c r="C94" s="554">
        <v>2.5000000000000001E-2</v>
      </c>
      <c r="D94" s="1106">
        <v>1.2100000000000002</v>
      </c>
      <c r="E94" s="554"/>
      <c r="F94" s="554">
        <v>0.1</v>
      </c>
      <c r="G94" s="554">
        <v>0.1</v>
      </c>
      <c r="H94" s="554">
        <v>2.5000000000000001E-2</v>
      </c>
      <c r="I94" s="554">
        <v>1.2100000000000002</v>
      </c>
      <c r="J94" s="1106">
        <v>1</v>
      </c>
      <c r="N94" s="834">
        <f t="shared" si="2"/>
        <v>0</v>
      </c>
      <c r="P94" s="960">
        <f t="shared" si="3"/>
        <v>0</v>
      </c>
    </row>
    <row r="95" spans="1:16" s="499" customFormat="1" ht="24.95" customHeight="1">
      <c r="A95" s="1167" t="s">
        <v>744</v>
      </c>
      <c r="B95" s="1168" t="s">
        <v>743</v>
      </c>
      <c r="C95" s="1190">
        <v>543.52800000000013</v>
      </c>
      <c r="D95" s="1190">
        <v>668.9011999999999</v>
      </c>
      <c r="E95" s="1190">
        <v>460.99000000000007</v>
      </c>
      <c r="F95" s="1190">
        <v>181.12629999999999</v>
      </c>
      <c r="G95" s="1190">
        <v>642.11630000000002</v>
      </c>
      <c r="H95" s="1190">
        <v>543.52800000000013</v>
      </c>
      <c r="I95" s="1191">
        <v>712.68119999999988</v>
      </c>
      <c r="J95" s="1192">
        <v>719.24799999999982</v>
      </c>
      <c r="L95" s="1130">
        <f>J95-875.045</f>
        <v>-155.79700000000014</v>
      </c>
      <c r="N95" s="834">
        <f t="shared" si="2"/>
        <v>0</v>
      </c>
      <c r="P95" s="960">
        <f t="shared" si="3"/>
        <v>0</v>
      </c>
    </row>
    <row r="96" spans="1:16" ht="6.75" customHeight="1">
      <c r="A96" s="1303"/>
      <c r="B96" s="1304"/>
      <c r="C96" s="1304"/>
      <c r="D96" s="1304"/>
      <c r="E96" s="1304"/>
      <c r="F96" s="1304"/>
      <c r="G96" s="1304"/>
      <c r="H96" s="1305"/>
      <c r="I96" s="1305"/>
      <c r="J96" s="1106"/>
      <c r="N96" s="834">
        <f t="shared" si="2"/>
        <v>0</v>
      </c>
      <c r="P96" s="960">
        <f t="shared" si="3"/>
        <v>0</v>
      </c>
    </row>
    <row r="97" spans="1:16" s="499" customFormat="1" ht="30">
      <c r="A97" s="1180" t="s">
        <v>735</v>
      </c>
      <c r="B97" s="1181" t="s">
        <v>834</v>
      </c>
      <c r="C97" s="1194">
        <v>906.43200000000002</v>
      </c>
      <c r="D97" s="1194">
        <v>1074.7517</v>
      </c>
      <c r="E97" s="1194">
        <v>709.59900000000005</v>
      </c>
      <c r="F97" s="1194">
        <v>367.50470000000001</v>
      </c>
      <c r="G97" s="1194">
        <v>1077.1037000000001</v>
      </c>
      <c r="H97" s="1194">
        <v>906.43200000000002</v>
      </c>
      <c r="I97" s="1195">
        <v>1074.7517</v>
      </c>
      <c r="J97" s="1196">
        <v>1103.0487000000001</v>
      </c>
      <c r="N97" s="834">
        <f t="shared" si="2"/>
        <v>0</v>
      </c>
      <c r="P97" s="960">
        <f t="shared" si="3"/>
        <v>0</v>
      </c>
    </row>
    <row r="98" spans="1:16" ht="16.5" customHeight="1">
      <c r="A98" s="1039" t="s">
        <v>261</v>
      </c>
      <c r="B98" s="1037" t="s">
        <v>262</v>
      </c>
      <c r="C98" s="554">
        <v>749.56600000000003</v>
      </c>
      <c r="D98" s="1106">
        <v>891.38170000000002</v>
      </c>
      <c r="E98" s="554">
        <v>620.18600000000004</v>
      </c>
      <c r="F98" s="554">
        <v>271.19569999999999</v>
      </c>
      <c r="G98" s="554">
        <v>891.38170000000002</v>
      </c>
      <c r="H98" s="554">
        <v>749.56600000000003</v>
      </c>
      <c r="I98" s="554">
        <v>891.38170000000002</v>
      </c>
      <c r="J98" s="1106">
        <v>916.92870000000005</v>
      </c>
      <c r="N98" s="834">
        <f t="shared" si="2"/>
        <v>0</v>
      </c>
      <c r="P98" s="960">
        <f t="shared" si="3"/>
        <v>0</v>
      </c>
    </row>
    <row r="99" spans="1:16" ht="16.5" customHeight="1">
      <c r="A99" s="1039" t="s">
        <v>263</v>
      </c>
      <c r="B99" s="1037" t="s">
        <v>742</v>
      </c>
      <c r="C99" s="554">
        <v>131.71700000000001</v>
      </c>
      <c r="D99" s="1106">
        <v>154.77000000000001</v>
      </c>
      <c r="E99" s="554">
        <v>68.852000000000004</v>
      </c>
      <c r="F99" s="554">
        <v>85.918000000000006</v>
      </c>
      <c r="G99" s="554">
        <v>154.77000000000001</v>
      </c>
      <c r="H99" s="554">
        <v>131.71700000000001</v>
      </c>
      <c r="I99" s="554">
        <v>154.77000000000001</v>
      </c>
      <c r="J99" s="1106">
        <v>154.77000000000001</v>
      </c>
      <c r="N99" s="834">
        <f t="shared" si="2"/>
        <v>0</v>
      </c>
      <c r="P99" s="960">
        <f t="shared" si="3"/>
        <v>0</v>
      </c>
    </row>
    <row r="100" spans="1:16" ht="16.5" hidden="1" customHeight="1">
      <c r="A100" s="1039" t="s">
        <v>264</v>
      </c>
      <c r="B100" s="1037" t="s">
        <v>265</v>
      </c>
      <c r="C100" s="554"/>
      <c r="D100" s="1106"/>
      <c r="E100" s="554"/>
      <c r="F100" s="554">
        <v>0</v>
      </c>
      <c r="G100" s="554">
        <v>0</v>
      </c>
      <c r="H100" s="554"/>
      <c r="I100" s="554"/>
      <c r="J100" s="1106"/>
      <c r="N100" s="834">
        <f t="shared" si="2"/>
        <v>0</v>
      </c>
      <c r="P100" s="960">
        <f t="shared" si="3"/>
        <v>0</v>
      </c>
    </row>
    <row r="101" spans="1:16" ht="16.5" hidden="1" customHeight="1">
      <c r="A101" s="1039" t="s">
        <v>266</v>
      </c>
      <c r="B101" s="1037" t="s">
        <v>741</v>
      </c>
      <c r="C101" s="554"/>
      <c r="D101" s="1106"/>
      <c r="E101" s="554"/>
      <c r="F101" s="554">
        <v>0</v>
      </c>
      <c r="G101" s="554">
        <v>0</v>
      </c>
      <c r="H101" s="554"/>
      <c r="I101" s="554"/>
      <c r="J101" s="1106"/>
      <c r="N101" s="834">
        <f t="shared" si="2"/>
        <v>0</v>
      </c>
      <c r="P101" s="960">
        <f t="shared" si="3"/>
        <v>0</v>
      </c>
    </row>
    <row r="102" spans="1:16" ht="24" hidden="1" customHeight="1">
      <c r="A102" s="1039" t="s">
        <v>267</v>
      </c>
      <c r="B102" s="1037" t="s">
        <v>740</v>
      </c>
      <c r="C102" s="554"/>
      <c r="D102" s="1106"/>
      <c r="E102" s="554"/>
      <c r="F102" s="554">
        <v>0</v>
      </c>
      <c r="G102" s="554">
        <v>0</v>
      </c>
      <c r="H102" s="554"/>
      <c r="I102" s="554"/>
      <c r="J102" s="1106"/>
      <c r="N102" s="834">
        <f t="shared" si="2"/>
        <v>0</v>
      </c>
      <c r="P102" s="960">
        <f t="shared" si="3"/>
        <v>0</v>
      </c>
    </row>
    <row r="103" spans="1:16" ht="24" hidden="1" customHeight="1">
      <c r="A103" s="1039" t="s">
        <v>268</v>
      </c>
      <c r="B103" s="1037" t="s">
        <v>739</v>
      </c>
      <c r="C103" s="554"/>
      <c r="D103" s="1106"/>
      <c r="E103" s="554"/>
      <c r="F103" s="554">
        <v>0</v>
      </c>
      <c r="G103" s="554">
        <v>0</v>
      </c>
      <c r="H103" s="554"/>
      <c r="I103" s="554"/>
      <c r="J103" s="1106"/>
      <c r="N103" s="834">
        <f t="shared" si="2"/>
        <v>0</v>
      </c>
      <c r="P103" s="960">
        <f t="shared" si="3"/>
        <v>0</v>
      </c>
    </row>
    <row r="104" spans="1:16" ht="24" customHeight="1">
      <c r="A104" s="1039" t="s">
        <v>269</v>
      </c>
      <c r="B104" s="1037" t="s">
        <v>738</v>
      </c>
      <c r="C104" s="554">
        <v>0.78200000000000003</v>
      </c>
      <c r="D104" s="1106">
        <v>1.1000000000000001</v>
      </c>
      <c r="E104" s="554">
        <v>2.452</v>
      </c>
      <c r="F104" s="554">
        <v>1</v>
      </c>
      <c r="G104" s="554">
        <v>3.452</v>
      </c>
      <c r="H104" s="554">
        <v>0.78200000000000003</v>
      </c>
      <c r="I104" s="554">
        <v>1.1000000000000001</v>
      </c>
      <c r="J104" s="1106">
        <v>1.1000000000000001</v>
      </c>
      <c r="N104" s="834">
        <f t="shared" si="2"/>
        <v>0</v>
      </c>
      <c r="P104" s="960">
        <f t="shared" si="3"/>
        <v>0</v>
      </c>
    </row>
    <row r="105" spans="1:16" ht="24" customHeight="1">
      <c r="A105" s="1039" t="s">
        <v>270</v>
      </c>
      <c r="B105" s="1037" t="s">
        <v>737</v>
      </c>
      <c r="C105" s="554">
        <v>15.967000000000001</v>
      </c>
      <c r="D105" s="1106">
        <v>16.5</v>
      </c>
      <c r="E105" s="554">
        <v>15.109</v>
      </c>
      <c r="F105" s="554">
        <v>1.391</v>
      </c>
      <c r="G105" s="554">
        <v>16.5</v>
      </c>
      <c r="H105" s="554">
        <v>15.967000000000001</v>
      </c>
      <c r="I105" s="554">
        <v>16.5</v>
      </c>
      <c r="J105" s="1106">
        <v>18.149999999999999</v>
      </c>
      <c r="N105" s="834">
        <f t="shared" si="2"/>
        <v>0</v>
      </c>
      <c r="P105" s="960">
        <f t="shared" si="3"/>
        <v>0</v>
      </c>
    </row>
    <row r="106" spans="1:16" ht="24" customHeight="1">
      <c r="A106" s="1037" t="s">
        <v>271</v>
      </c>
      <c r="B106" s="1037" t="s">
        <v>736</v>
      </c>
      <c r="C106" s="554">
        <v>8.4</v>
      </c>
      <c r="D106" s="1106">
        <v>11</v>
      </c>
      <c r="E106" s="554">
        <v>3</v>
      </c>
      <c r="F106" s="554">
        <v>8</v>
      </c>
      <c r="G106" s="554">
        <v>11</v>
      </c>
      <c r="H106" s="554">
        <v>8.4</v>
      </c>
      <c r="I106" s="554">
        <v>11</v>
      </c>
      <c r="J106" s="1106">
        <v>12.1</v>
      </c>
      <c r="N106" s="834">
        <f t="shared" si="2"/>
        <v>0</v>
      </c>
      <c r="P106" s="960">
        <f t="shared" si="3"/>
        <v>0</v>
      </c>
    </row>
    <row r="107" spans="1:16" s="499" customFormat="1" ht="20.100000000000001" customHeight="1">
      <c r="A107" s="1172" t="s">
        <v>726</v>
      </c>
      <c r="B107" s="1173" t="s">
        <v>835</v>
      </c>
      <c r="C107" s="1197">
        <v>24.106000000000002</v>
      </c>
      <c r="D107" s="1197">
        <v>33.387500000000003</v>
      </c>
      <c r="E107" s="1197">
        <v>12.431000000000001</v>
      </c>
      <c r="F107" s="1197">
        <v>20.956499999999995</v>
      </c>
      <c r="G107" s="1197">
        <v>33.387499999999996</v>
      </c>
      <c r="H107" s="1197">
        <v>24.106000000000002</v>
      </c>
      <c r="I107" s="1198">
        <v>33.387500000000003</v>
      </c>
      <c r="J107" s="1199">
        <v>36.736999999999995</v>
      </c>
      <c r="N107" s="834">
        <f t="shared" si="2"/>
        <v>0</v>
      </c>
      <c r="P107" s="960">
        <f t="shared" si="3"/>
        <v>0</v>
      </c>
    </row>
    <row r="108" spans="1:16" ht="16.5" customHeight="1">
      <c r="A108" s="1037" t="s">
        <v>176</v>
      </c>
      <c r="B108" s="1037" t="s">
        <v>177</v>
      </c>
      <c r="C108" s="554">
        <v>4.0369999999999999</v>
      </c>
      <c r="D108" s="1106">
        <v>4.4000000000000004</v>
      </c>
      <c r="E108" s="554">
        <v>1.925</v>
      </c>
      <c r="F108" s="554">
        <v>3.5750000000000006</v>
      </c>
      <c r="G108" s="554">
        <v>5.5000000000000009</v>
      </c>
      <c r="H108" s="554">
        <v>4.0369999999999999</v>
      </c>
      <c r="I108" s="554">
        <v>4.4000000000000004</v>
      </c>
      <c r="J108" s="1106">
        <v>4.4000000000000004</v>
      </c>
      <c r="N108" s="834">
        <f t="shared" si="2"/>
        <v>0</v>
      </c>
      <c r="P108" s="960">
        <f t="shared" si="3"/>
        <v>0</v>
      </c>
    </row>
    <row r="109" spans="1:16" ht="16.5" customHeight="1">
      <c r="A109" s="1037" t="s">
        <v>178</v>
      </c>
      <c r="B109" s="1037" t="s">
        <v>734</v>
      </c>
      <c r="C109" s="554">
        <v>5.8940000000000001</v>
      </c>
      <c r="D109" s="1106">
        <v>7.18</v>
      </c>
      <c r="E109" s="554">
        <v>4.0810000000000004</v>
      </c>
      <c r="F109" s="554">
        <v>3.0989999999999993</v>
      </c>
      <c r="G109" s="554">
        <v>7.18</v>
      </c>
      <c r="H109" s="554">
        <v>5.8940000000000001</v>
      </c>
      <c r="I109" s="554">
        <v>7.18</v>
      </c>
      <c r="J109" s="1106">
        <v>8.3479999999999972</v>
      </c>
      <c r="N109" s="834">
        <f t="shared" si="2"/>
        <v>0</v>
      </c>
      <c r="P109" s="960">
        <f t="shared" si="3"/>
        <v>0</v>
      </c>
    </row>
    <row r="110" spans="1:16" ht="16.5" customHeight="1">
      <c r="A110" s="1037" t="s">
        <v>179</v>
      </c>
      <c r="B110" s="1037" t="s">
        <v>733</v>
      </c>
      <c r="C110" s="554">
        <v>0.115</v>
      </c>
      <c r="D110" s="1106">
        <v>0.30250000000000005</v>
      </c>
      <c r="E110" s="554"/>
      <c r="F110" s="554">
        <v>0.30250000000000005</v>
      </c>
      <c r="G110" s="554">
        <v>0.30250000000000005</v>
      </c>
      <c r="H110" s="554">
        <v>0.115</v>
      </c>
      <c r="I110" s="554">
        <v>0.30250000000000005</v>
      </c>
      <c r="J110" s="1106">
        <v>0.33300000000000002</v>
      </c>
      <c r="N110" s="834">
        <f t="shared" si="2"/>
        <v>0</v>
      </c>
      <c r="P110" s="960">
        <f t="shared" si="3"/>
        <v>0</v>
      </c>
    </row>
    <row r="111" spans="1:16" ht="16.5" customHeight="1">
      <c r="A111" s="1037" t="s">
        <v>180</v>
      </c>
      <c r="B111" s="1037" t="s">
        <v>732</v>
      </c>
      <c r="C111" s="554">
        <v>11.74</v>
      </c>
      <c r="D111" s="1106">
        <v>13.2</v>
      </c>
      <c r="E111" s="554">
        <v>4.5209999999999999</v>
      </c>
      <c r="F111" s="554">
        <v>8.6789999999999985</v>
      </c>
      <c r="G111" s="554">
        <v>13.2</v>
      </c>
      <c r="H111" s="554">
        <v>11.74</v>
      </c>
      <c r="I111" s="554">
        <v>13.2</v>
      </c>
      <c r="J111" s="1106">
        <v>14.52</v>
      </c>
      <c r="N111" s="834">
        <f t="shared" si="2"/>
        <v>0</v>
      </c>
      <c r="P111" s="960">
        <f t="shared" si="3"/>
        <v>0</v>
      </c>
    </row>
    <row r="112" spans="1:16" ht="16.5" customHeight="1">
      <c r="A112" s="1037" t="s">
        <v>181</v>
      </c>
      <c r="B112" s="1037" t="s">
        <v>731</v>
      </c>
      <c r="C112" s="554">
        <v>1.272</v>
      </c>
      <c r="D112" s="1106">
        <v>5.5</v>
      </c>
      <c r="E112" s="554">
        <v>1.2689999999999999</v>
      </c>
      <c r="F112" s="554">
        <v>4.2309999999999999</v>
      </c>
      <c r="G112" s="554">
        <v>5.5</v>
      </c>
      <c r="H112" s="554">
        <v>1.272</v>
      </c>
      <c r="I112" s="554">
        <v>5.5</v>
      </c>
      <c r="J112" s="1106">
        <v>6.05</v>
      </c>
      <c r="N112" s="834">
        <f t="shared" si="2"/>
        <v>0</v>
      </c>
      <c r="P112" s="960">
        <f t="shared" si="3"/>
        <v>0</v>
      </c>
    </row>
    <row r="113" spans="1:16" ht="16.5" customHeight="1">
      <c r="A113" s="1037" t="s">
        <v>182</v>
      </c>
      <c r="B113" s="1037" t="s">
        <v>183</v>
      </c>
      <c r="C113" s="554"/>
      <c r="D113" s="1106">
        <v>1.1000000000000001</v>
      </c>
      <c r="E113" s="554"/>
      <c r="F113" s="554"/>
      <c r="G113" s="554">
        <v>0</v>
      </c>
      <c r="H113" s="554"/>
      <c r="I113" s="554">
        <v>1.1000000000000001</v>
      </c>
      <c r="J113" s="1106">
        <v>1.21</v>
      </c>
      <c r="N113" s="834">
        <f t="shared" si="2"/>
        <v>0</v>
      </c>
      <c r="P113" s="960">
        <f t="shared" si="3"/>
        <v>0</v>
      </c>
    </row>
    <row r="114" spans="1:16" ht="16.5" customHeight="1">
      <c r="A114" s="1037" t="s">
        <v>184</v>
      </c>
      <c r="B114" s="1037" t="s">
        <v>164</v>
      </c>
      <c r="C114" s="554"/>
      <c r="D114" s="1106">
        <v>0.33</v>
      </c>
      <c r="E114" s="554"/>
      <c r="F114" s="554">
        <v>0.33</v>
      </c>
      <c r="G114" s="554">
        <v>0.33</v>
      </c>
      <c r="H114" s="554"/>
      <c r="I114" s="554">
        <v>0.33</v>
      </c>
      <c r="J114" s="1106">
        <v>0.36299999999999999</v>
      </c>
      <c r="N114" s="834">
        <f t="shared" si="2"/>
        <v>0</v>
      </c>
      <c r="P114" s="960">
        <f t="shared" si="3"/>
        <v>0</v>
      </c>
    </row>
    <row r="115" spans="1:16" ht="16.5" customHeight="1">
      <c r="A115" s="1037" t="s">
        <v>185</v>
      </c>
      <c r="B115" s="1037" t="s">
        <v>166</v>
      </c>
      <c r="C115" s="554"/>
      <c r="D115" s="1106">
        <v>0.27500000000000002</v>
      </c>
      <c r="E115" s="554"/>
      <c r="F115" s="554">
        <v>0.27500000000000002</v>
      </c>
      <c r="G115" s="554">
        <v>0.27500000000000002</v>
      </c>
      <c r="H115" s="554"/>
      <c r="I115" s="554">
        <v>0.27500000000000002</v>
      </c>
      <c r="J115" s="1106">
        <v>0.30299999999999999</v>
      </c>
      <c r="N115" s="834">
        <f t="shared" si="2"/>
        <v>0</v>
      </c>
      <c r="P115" s="960">
        <f t="shared" si="3"/>
        <v>0</v>
      </c>
    </row>
    <row r="116" spans="1:16" ht="16.5" hidden="1" customHeight="1">
      <c r="A116" s="1037" t="s">
        <v>186</v>
      </c>
      <c r="B116" s="1037" t="s">
        <v>730</v>
      </c>
      <c r="C116" s="554"/>
      <c r="D116" s="1106"/>
      <c r="E116" s="554"/>
      <c r="F116" s="554">
        <v>0</v>
      </c>
      <c r="G116" s="554">
        <v>0</v>
      </c>
      <c r="H116" s="554"/>
      <c r="I116" s="554">
        <v>0</v>
      </c>
      <c r="J116" s="1106"/>
      <c r="N116" s="834">
        <f t="shared" si="2"/>
        <v>0</v>
      </c>
      <c r="P116" s="960">
        <f t="shared" si="3"/>
        <v>0</v>
      </c>
    </row>
    <row r="117" spans="1:16" ht="16.5" hidden="1" customHeight="1">
      <c r="A117" s="1037" t="s">
        <v>187</v>
      </c>
      <c r="B117" s="1037" t="s">
        <v>729</v>
      </c>
      <c r="C117" s="554"/>
      <c r="D117" s="1106"/>
      <c r="E117" s="554"/>
      <c r="F117" s="554">
        <v>0</v>
      </c>
      <c r="G117" s="554">
        <v>0</v>
      </c>
      <c r="H117" s="554"/>
      <c r="I117" s="554">
        <v>0</v>
      </c>
      <c r="J117" s="1106"/>
      <c r="N117" s="834">
        <f t="shared" si="2"/>
        <v>0</v>
      </c>
      <c r="P117" s="960">
        <f t="shared" si="3"/>
        <v>0</v>
      </c>
    </row>
    <row r="118" spans="1:16" ht="16.5" hidden="1" customHeight="1">
      <c r="A118" s="1037" t="s">
        <v>188</v>
      </c>
      <c r="B118" s="1037" t="s">
        <v>728</v>
      </c>
      <c r="C118" s="554"/>
      <c r="D118" s="1106"/>
      <c r="E118" s="554"/>
      <c r="F118" s="554">
        <v>0</v>
      </c>
      <c r="G118" s="554">
        <v>0</v>
      </c>
      <c r="H118" s="554"/>
      <c r="I118" s="554">
        <v>0</v>
      </c>
      <c r="J118" s="1106"/>
      <c r="N118" s="834">
        <f t="shared" si="2"/>
        <v>0</v>
      </c>
      <c r="P118" s="960">
        <f t="shared" si="3"/>
        <v>0</v>
      </c>
    </row>
    <row r="119" spans="1:16" ht="16.5" customHeight="1">
      <c r="A119" s="1037" t="s">
        <v>189</v>
      </c>
      <c r="B119" s="1037" t="s">
        <v>727</v>
      </c>
      <c r="C119" s="554">
        <v>1.048</v>
      </c>
      <c r="D119" s="1106">
        <v>1.1000000000000001</v>
      </c>
      <c r="E119" s="554">
        <v>0.63500000000000001</v>
      </c>
      <c r="F119" s="554">
        <v>0.46500000000000008</v>
      </c>
      <c r="G119" s="554">
        <v>1.1000000000000001</v>
      </c>
      <c r="H119" s="554">
        <v>1.048</v>
      </c>
      <c r="I119" s="554">
        <v>1.1000000000000001</v>
      </c>
      <c r="J119" s="1106">
        <v>1.21</v>
      </c>
      <c r="N119" s="834">
        <f t="shared" si="2"/>
        <v>0</v>
      </c>
      <c r="P119" s="960">
        <f t="shared" si="3"/>
        <v>0</v>
      </c>
    </row>
    <row r="120" spans="1:16" s="499" customFormat="1" ht="20.100000000000001" hidden="1" customHeight="1">
      <c r="A120" s="1167" t="s">
        <v>190</v>
      </c>
      <c r="B120" s="1168" t="s">
        <v>836</v>
      </c>
      <c r="C120" s="1169"/>
      <c r="D120" s="1169">
        <v>0</v>
      </c>
      <c r="E120" s="1169">
        <v>0</v>
      </c>
      <c r="F120" s="1169">
        <v>0</v>
      </c>
      <c r="G120" s="1169">
        <v>0</v>
      </c>
      <c r="H120" s="1169"/>
      <c r="I120" s="1170">
        <v>0</v>
      </c>
      <c r="J120" s="1188"/>
      <c r="N120" s="834">
        <f t="shared" si="2"/>
        <v>0</v>
      </c>
      <c r="P120" s="960">
        <f t="shared" si="3"/>
        <v>0</v>
      </c>
    </row>
    <row r="121" spans="1:16" ht="16.5" hidden="1" customHeight="1">
      <c r="A121" s="497" t="s">
        <v>191</v>
      </c>
      <c r="B121" s="498" t="s">
        <v>724</v>
      </c>
      <c r="C121" s="796"/>
      <c r="D121" s="503"/>
      <c r="E121" s="503"/>
      <c r="F121" s="503"/>
      <c r="G121" s="503"/>
      <c r="H121" s="796"/>
      <c r="I121" s="796"/>
      <c r="J121" s="1106"/>
      <c r="N121" s="834">
        <f t="shared" si="2"/>
        <v>0</v>
      </c>
      <c r="P121" s="960">
        <f t="shared" si="3"/>
        <v>0</v>
      </c>
    </row>
    <row r="122" spans="1:16" ht="16.5" hidden="1" customHeight="1">
      <c r="A122" s="497" t="s">
        <v>192</v>
      </c>
      <c r="B122" s="498" t="s">
        <v>725</v>
      </c>
      <c r="C122" s="796"/>
      <c r="D122" s="503"/>
      <c r="E122" s="503"/>
      <c r="F122" s="503"/>
      <c r="G122" s="503"/>
      <c r="H122" s="796"/>
      <c r="I122" s="796"/>
      <c r="J122" s="1106"/>
      <c r="N122" s="834">
        <f t="shared" si="2"/>
        <v>0</v>
      </c>
      <c r="P122" s="960">
        <f t="shared" si="3"/>
        <v>0</v>
      </c>
    </row>
    <row r="123" spans="1:16" s="499" customFormat="1" ht="33.75" customHeight="1">
      <c r="A123" s="1180" t="s">
        <v>193</v>
      </c>
      <c r="B123" s="1181" t="s">
        <v>844</v>
      </c>
      <c r="C123" s="1182">
        <v>2.6019999999999999</v>
      </c>
      <c r="D123" s="1182">
        <v>27.649000000000001</v>
      </c>
      <c r="E123" s="1182">
        <v>0.2</v>
      </c>
      <c r="F123" s="1182">
        <v>27.449000000000002</v>
      </c>
      <c r="G123" s="1182">
        <v>27.649000000000001</v>
      </c>
      <c r="H123" s="1182">
        <v>2.6019999999999999</v>
      </c>
      <c r="I123" s="1183">
        <v>27.649000000000001</v>
      </c>
      <c r="J123" s="1184">
        <v>10</v>
      </c>
      <c r="N123" s="834">
        <f t="shared" si="2"/>
        <v>0</v>
      </c>
      <c r="P123" s="960">
        <f t="shared" si="3"/>
        <v>0</v>
      </c>
    </row>
    <row r="124" spans="1:16" ht="16.5" customHeight="1">
      <c r="A124" s="1037" t="s">
        <v>194</v>
      </c>
      <c r="B124" s="1037" t="s">
        <v>723</v>
      </c>
      <c r="C124" s="554">
        <v>2.6019999999999999</v>
      </c>
      <c r="D124" s="1106">
        <v>20</v>
      </c>
      <c r="E124" s="554">
        <v>0.2</v>
      </c>
      <c r="F124" s="554">
        <v>19.8</v>
      </c>
      <c r="G124" s="554">
        <v>20</v>
      </c>
      <c r="H124" s="554">
        <v>2.6019999999999999</v>
      </c>
      <c r="I124" s="554">
        <v>20</v>
      </c>
      <c r="J124" s="1106">
        <v>10</v>
      </c>
      <c r="N124" s="834">
        <f t="shared" si="2"/>
        <v>0</v>
      </c>
      <c r="P124" s="960">
        <f t="shared" si="3"/>
        <v>0</v>
      </c>
    </row>
    <row r="125" spans="1:16" ht="16.5" hidden="1" customHeight="1">
      <c r="A125" s="1037" t="s">
        <v>195</v>
      </c>
      <c r="B125" s="1037" t="s">
        <v>722</v>
      </c>
      <c r="C125" s="554"/>
      <c r="D125" s="554"/>
      <c r="E125" s="554"/>
      <c r="F125" s="554">
        <v>0</v>
      </c>
      <c r="G125" s="554"/>
      <c r="H125" s="554"/>
      <c r="I125" s="554"/>
      <c r="J125" s="1106"/>
      <c r="N125" s="834">
        <f t="shared" si="2"/>
        <v>0</v>
      </c>
      <c r="P125" s="960">
        <f t="shared" si="3"/>
        <v>0</v>
      </c>
    </row>
    <row r="126" spans="1:16" ht="16.5" customHeight="1">
      <c r="A126" s="1037" t="s">
        <v>195</v>
      </c>
      <c r="B126" s="1200" t="s">
        <v>1355</v>
      </c>
      <c r="C126" s="554"/>
      <c r="D126" s="1106">
        <v>7.649</v>
      </c>
      <c r="E126" s="554"/>
      <c r="F126" s="554">
        <v>7.649</v>
      </c>
      <c r="G126" s="554">
        <v>7.649</v>
      </c>
      <c r="H126" s="554"/>
      <c r="I126" s="554">
        <v>7.649</v>
      </c>
      <c r="J126" s="1106"/>
      <c r="N126" s="834">
        <f t="shared" si="2"/>
        <v>0</v>
      </c>
      <c r="P126" s="960">
        <f t="shared" si="3"/>
        <v>0</v>
      </c>
    </row>
    <row r="127" spans="1:16" s="499" customFormat="1" ht="30" customHeight="1">
      <c r="A127" s="1172" t="s">
        <v>716</v>
      </c>
      <c r="B127" s="1173" t="s">
        <v>837</v>
      </c>
      <c r="C127" s="1174">
        <v>54.847999999999999</v>
      </c>
      <c r="D127" s="1174">
        <v>56.332000000000001</v>
      </c>
      <c r="E127" s="1174">
        <v>1.3149999999999999</v>
      </c>
      <c r="F127" s="1174">
        <v>55.016999999999996</v>
      </c>
      <c r="G127" s="1174">
        <v>56.332000000000001</v>
      </c>
      <c r="H127" s="1174">
        <v>56.938000000000002</v>
      </c>
      <c r="I127" s="1175">
        <v>58.532000000000004</v>
      </c>
      <c r="J127" s="1176">
        <v>77.311000000000007</v>
      </c>
      <c r="N127" s="834">
        <f t="shared" si="2"/>
        <v>0</v>
      </c>
      <c r="P127" s="960">
        <f t="shared" si="3"/>
        <v>0</v>
      </c>
    </row>
    <row r="128" spans="1:16" ht="16.5" customHeight="1">
      <c r="A128" s="1037" t="s">
        <v>272</v>
      </c>
      <c r="B128" s="1037" t="s">
        <v>721</v>
      </c>
      <c r="C128" s="554">
        <v>0.2</v>
      </c>
      <c r="D128" s="1106">
        <v>0.60500000000000009</v>
      </c>
      <c r="E128" s="554">
        <v>0.06</v>
      </c>
      <c r="F128" s="554">
        <v>0.54500000000000015</v>
      </c>
      <c r="G128" s="554">
        <v>0.6050000000000002</v>
      </c>
      <c r="H128" s="554">
        <v>0.2</v>
      </c>
      <c r="I128" s="554">
        <v>0.60500000000000009</v>
      </c>
      <c r="J128" s="1106">
        <v>1.292</v>
      </c>
      <c r="N128" s="834">
        <f t="shared" si="2"/>
        <v>0</v>
      </c>
      <c r="P128" s="960">
        <f t="shared" si="3"/>
        <v>0</v>
      </c>
    </row>
    <row r="129" spans="1:16" ht="16.5" customHeight="1">
      <c r="A129" s="1037" t="s">
        <v>273</v>
      </c>
      <c r="B129" s="1037" t="s">
        <v>720</v>
      </c>
      <c r="C129" s="554">
        <v>51.326999999999998</v>
      </c>
      <c r="D129" s="1106">
        <v>51.326999999999998</v>
      </c>
      <c r="E129" s="554"/>
      <c r="F129" s="554">
        <v>51.326999999999998</v>
      </c>
      <c r="G129" s="554">
        <v>51.326999999999998</v>
      </c>
      <c r="H129" s="554">
        <v>51.326999999999998</v>
      </c>
      <c r="I129" s="554">
        <v>51.326999999999998</v>
      </c>
      <c r="J129" s="1106">
        <v>51.326999999999998</v>
      </c>
      <c r="N129" s="834">
        <f t="shared" si="2"/>
        <v>0</v>
      </c>
      <c r="P129" s="960">
        <f t="shared" si="3"/>
        <v>0</v>
      </c>
    </row>
    <row r="130" spans="1:16" ht="16.5" customHeight="1">
      <c r="A130" s="1037" t="s">
        <v>274</v>
      </c>
      <c r="B130" s="1037" t="s">
        <v>1171</v>
      </c>
      <c r="C130" s="554">
        <v>1.2310000000000001</v>
      </c>
      <c r="D130" s="1106">
        <v>2.2000000000000002</v>
      </c>
      <c r="E130" s="554">
        <v>0.73599999999999999</v>
      </c>
      <c r="F130" s="554">
        <v>1.4640000000000002</v>
      </c>
      <c r="G130" s="554">
        <v>2.2000000000000002</v>
      </c>
      <c r="H130" s="554">
        <v>1.2310000000000001</v>
      </c>
      <c r="I130" s="554">
        <v>2.2000000000000002</v>
      </c>
      <c r="J130" s="1106">
        <v>8.2170000000000005</v>
      </c>
      <c r="N130" s="834">
        <f t="shared" si="2"/>
        <v>0</v>
      </c>
      <c r="P130" s="960">
        <f t="shared" si="3"/>
        <v>0</v>
      </c>
    </row>
    <row r="131" spans="1:16" ht="16.5" customHeight="1">
      <c r="A131" s="1037" t="s">
        <v>275</v>
      </c>
      <c r="B131" s="1037" t="s">
        <v>719</v>
      </c>
      <c r="C131" s="554">
        <v>2.09</v>
      </c>
      <c r="D131" s="1106">
        <v>2.2000000000000002</v>
      </c>
      <c r="E131" s="554">
        <v>0.51900000000000002</v>
      </c>
      <c r="F131" s="554">
        <v>1.681</v>
      </c>
      <c r="G131" s="554">
        <v>2.2000000000000002</v>
      </c>
      <c r="H131" s="554">
        <v>2.09</v>
      </c>
      <c r="I131" s="554">
        <v>2.2000000000000002</v>
      </c>
      <c r="J131" s="1106">
        <v>2.42</v>
      </c>
      <c r="N131" s="834">
        <f t="shared" si="2"/>
        <v>0</v>
      </c>
      <c r="P131" s="960"/>
    </row>
    <row r="132" spans="1:16" ht="16.5" customHeight="1">
      <c r="A132" s="1037" t="s">
        <v>275</v>
      </c>
      <c r="B132" s="1037" t="s">
        <v>1520</v>
      </c>
      <c r="C132" s="554"/>
      <c r="D132" s="1106"/>
      <c r="E132" s="554"/>
      <c r="F132" s="554"/>
      <c r="G132" s="554"/>
      <c r="H132" s="554">
        <v>2.09</v>
      </c>
      <c r="I132" s="554">
        <v>2.2000000000000002</v>
      </c>
      <c r="J132" s="1106">
        <v>14.055</v>
      </c>
      <c r="N132" s="834">
        <f t="shared" si="2"/>
        <v>0</v>
      </c>
      <c r="P132" s="960">
        <f t="shared" si="3"/>
        <v>0</v>
      </c>
    </row>
    <row r="133" spans="1:16" ht="16.5" hidden="1" customHeight="1">
      <c r="A133" s="1177" t="s">
        <v>276</v>
      </c>
      <c r="B133" s="1178" t="s">
        <v>718</v>
      </c>
      <c r="C133" s="1057"/>
      <c r="D133" s="988"/>
      <c r="E133" s="988"/>
      <c r="F133" s="988"/>
      <c r="G133" s="988"/>
      <c r="H133" s="1057"/>
      <c r="I133" s="1057"/>
      <c r="J133" s="1179"/>
      <c r="N133" s="834">
        <f t="shared" si="2"/>
        <v>0</v>
      </c>
      <c r="P133" s="960">
        <f t="shared" si="3"/>
        <v>0</v>
      </c>
    </row>
    <row r="134" spans="1:16" ht="16.5" hidden="1" customHeight="1">
      <c r="A134" s="497" t="s">
        <v>277</v>
      </c>
      <c r="B134" s="498" t="s">
        <v>717</v>
      </c>
      <c r="C134" s="796"/>
      <c r="D134" s="503"/>
      <c r="E134" s="503"/>
      <c r="F134" s="503"/>
      <c r="G134" s="503"/>
      <c r="H134" s="796"/>
      <c r="I134" s="796"/>
      <c r="J134" s="1106"/>
      <c r="N134" s="834">
        <f t="shared" si="2"/>
        <v>0</v>
      </c>
      <c r="P134" s="960">
        <f t="shared" si="3"/>
        <v>0</v>
      </c>
    </row>
    <row r="135" spans="1:16" ht="16.5" hidden="1" customHeight="1">
      <c r="A135" s="497" t="s">
        <v>278</v>
      </c>
      <c r="B135" s="498" t="s">
        <v>279</v>
      </c>
      <c r="C135" s="796"/>
      <c r="D135" s="503"/>
      <c r="E135" s="503"/>
      <c r="F135" s="503"/>
      <c r="G135" s="503"/>
      <c r="H135" s="796"/>
      <c r="I135" s="796"/>
      <c r="J135" s="1106"/>
      <c r="N135" s="834">
        <f t="shared" si="2"/>
        <v>0</v>
      </c>
      <c r="P135" s="960">
        <f t="shared" si="3"/>
        <v>0</v>
      </c>
    </row>
    <row r="136" spans="1:16" s="499" customFormat="1" ht="20.100000000000001" hidden="1" customHeight="1">
      <c r="A136" s="481" t="s">
        <v>713</v>
      </c>
      <c r="B136" s="482" t="s">
        <v>843</v>
      </c>
      <c r="C136" s="516"/>
      <c r="D136" s="516">
        <v>0</v>
      </c>
      <c r="E136" s="516">
        <v>0</v>
      </c>
      <c r="F136" s="516">
        <v>0</v>
      </c>
      <c r="G136" s="516">
        <v>0</v>
      </c>
      <c r="H136" s="516"/>
      <c r="I136" s="1058">
        <v>0</v>
      </c>
      <c r="J136" s="1107"/>
      <c r="N136" s="834">
        <f t="shared" si="2"/>
        <v>0</v>
      </c>
      <c r="P136" s="960">
        <f t="shared" si="3"/>
        <v>0</v>
      </c>
    </row>
    <row r="137" spans="1:16" ht="16.5" hidden="1" customHeight="1">
      <c r="A137" s="497" t="s">
        <v>280</v>
      </c>
      <c r="B137" s="498" t="s">
        <v>715</v>
      </c>
      <c r="C137" s="796"/>
      <c r="D137" s="503"/>
      <c r="E137" s="503"/>
      <c r="F137" s="503"/>
      <c r="G137" s="503"/>
      <c r="H137" s="796"/>
      <c r="I137" s="796"/>
      <c r="J137" s="1106"/>
      <c r="N137" s="834">
        <f t="shared" si="2"/>
        <v>0</v>
      </c>
      <c r="P137" s="960">
        <f t="shared" si="3"/>
        <v>0</v>
      </c>
    </row>
    <row r="138" spans="1:16" ht="16.5" hidden="1" customHeight="1">
      <c r="A138" s="497" t="s">
        <v>714</v>
      </c>
      <c r="B138" s="498" t="s">
        <v>16</v>
      </c>
      <c r="C138" s="796"/>
      <c r="D138" s="503"/>
      <c r="E138" s="503"/>
      <c r="F138" s="503"/>
      <c r="G138" s="503"/>
      <c r="H138" s="796"/>
      <c r="I138" s="796"/>
      <c r="J138" s="1106"/>
      <c r="N138" s="834">
        <f t="shared" ref="N138:N168" si="4">+E138+F138-G138</f>
        <v>0</v>
      </c>
      <c r="P138" s="960">
        <f t="shared" si="3"/>
        <v>0</v>
      </c>
    </row>
    <row r="139" spans="1:16" s="499" customFormat="1" ht="35.25" customHeight="1">
      <c r="A139" s="1180" t="s">
        <v>709</v>
      </c>
      <c r="B139" s="1181" t="s">
        <v>838</v>
      </c>
      <c r="C139" s="1182">
        <v>2.2629999999999999</v>
      </c>
      <c r="D139" s="1182">
        <v>5.1750000000000007</v>
      </c>
      <c r="E139" s="1182">
        <v>1.8089999999999999</v>
      </c>
      <c r="F139" s="1182">
        <v>3.3660000000000005</v>
      </c>
      <c r="G139" s="1182">
        <v>5.1750000000000007</v>
      </c>
      <c r="H139" s="1182">
        <v>2.2629999999999999</v>
      </c>
      <c r="I139" s="1183">
        <v>5.1750000000000007</v>
      </c>
      <c r="J139" s="1184">
        <v>5.6929999999999996</v>
      </c>
      <c r="N139" s="834">
        <f t="shared" si="4"/>
        <v>0</v>
      </c>
      <c r="P139" s="960">
        <f t="shared" ref="P139:P169" si="5">+E139+F139-G139</f>
        <v>0</v>
      </c>
    </row>
    <row r="140" spans="1:16" ht="16.5" customHeight="1">
      <c r="A140" s="1037" t="s">
        <v>281</v>
      </c>
      <c r="B140" s="1037" t="s">
        <v>712</v>
      </c>
      <c r="C140" s="554">
        <v>2.1429999999999998</v>
      </c>
      <c r="D140" s="1106">
        <v>4.8450000000000006</v>
      </c>
      <c r="E140" s="554">
        <v>1.8089999999999999</v>
      </c>
      <c r="F140" s="554">
        <v>3.0360000000000005</v>
      </c>
      <c r="G140" s="554">
        <v>4.8450000000000006</v>
      </c>
      <c r="H140" s="554">
        <v>2.1429999999999998</v>
      </c>
      <c r="I140" s="554">
        <v>4.8450000000000006</v>
      </c>
      <c r="J140" s="1106">
        <v>5.33</v>
      </c>
      <c r="N140" s="834">
        <f t="shared" si="4"/>
        <v>0</v>
      </c>
      <c r="P140" s="960">
        <f t="shared" si="5"/>
        <v>0</v>
      </c>
    </row>
    <row r="141" spans="1:16" ht="16.5" customHeight="1">
      <c r="A141" s="1037" t="s">
        <v>711</v>
      </c>
      <c r="B141" s="1037" t="s">
        <v>710</v>
      </c>
      <c r="C141" s="554">
        <v>0.12</v>
      </c>
      <c r="D141" s="1106">
        <v>0.33</v>
      </c>
      <c r="E141" s="554"/>
      <c r="F141" s="554">
        <v>0.33</v>
      </c>
      <c r="G141" s="554">
        <v>0.33</v>
      </c>
      <c r="H141" s="554">
        <v>0.12</v>
      </c>
      <c r="I141" s="554">
        <v>0.33</v>
      </c>
      <c r="J141" s="1106">
        <v>0.36299999999999999</v>
      </c>
      <c r="N141" s="834">
        <f t="shared" si="4"/>
        <v>0</v>
      </c>
      <c r="P141" s="960">
        <f t="shared" si="5"/>
        <v>0</v>
      </c>
    </row>
    <row r="142" spans="1:16" s="499" customFormat="1" ht="20.100000000000001" customHeight="1">
      <c r="A142" s="1167" t="s">
        <v>695</v>
      </c>
      <c r="B142" s="1168" t="s">
        <v>842</v>
      </c>
      <c r="C142" s="1169"/>
      <c r="D142" s="1169">
        <v>1.1000000000000001</v>
      </c>
      <c r="E142" s="1169">
        <v>0</v>
      </c>
      <c r="F142" s="1169">
        <v>1.1000000000000001</v>
      </c>
      <c r="G142" s="1169">
        <v>1.1000000000000001</v>
      </c>
      <c r="H142" s="1169"/>
      <c r="I142" s="1170">
        <v>1.1000000000000001</v>
      </c>
      <c r="J142" s="1171">
        <v>1.21</v>
      </c>
      <c r="N142" s="834">
        <f t="shared" si="4"/>
        <v>0</v>
      </c>
      <c r="P142" s="960">
        <f t="shared" si="5"/>
        <v>0</v>
      </c>
    </row>
    <row r="143" spans="1:16" ht="24" hidden="1" customHeight="1">
      <c r="A143" s="497" t="s">
        <v>708</v>
      </c>
      <c r="B143" s="498" t="s">
        <v>707</v>
      </c>
      <c r="C143" s="796"/>
      <c r="D143" s="503"/>
      <c r="E143" s="503"/>
      <c r="F143" s="503"/>
      <c r="G143" s="503"/>
      <c r="H143" s="796"/>
      <c r="I143" s="796"/>
      <c r="J143" s="1106"/>
      <c r="N143" s="834">
        <f t="shared" si="4"/>
        <v>0</v>
      </c>
      <c r="P143" s="960">
        <f t="shared" si="5"/>
        <v>0</v>
      </c>
    </row>
    <row r="144" spans="1:16" ht="24" hidden="1" customHeight="1">
      <c r="A144" s="497" t="s">
        <v>706</v>
      </c>
      <c r="B144" s="498" t="s">
        <v>705</v>
      </c>
      <c r="C144" s="796"/>
      <c r="D144" s="503"/>
      <c r="E144" s="503"/>
      <c r="F144" s="503"/>
      <c r="G144" s="503"/>
      <c r="H144" s="796"/>
      <c r="I144" s="796"/>
      <c r="J144" s="1106"/>
      <c r="N144" s="834">
        <f t="shared" si="4"/>
        <v>0</v>
      </c>
      <c r="P144" s="960">
        <f t="shared" si="5"/>
        <v>0</v>
      </c>
    </row>
    <row r="145" spans="1:16" ht="26.25" hidden="1" customHeight="1">
      <c r="A145" s="497" t="s">
        <v>704</v>
      </c>
      <c r="B145" s="498" t="s">
        <v>703</v>
      </c>
      <c r="C145" s="796"/>
      <c r="D145" s="503"/>
      <c r="E145" s="503"/>
      <c r="F145" s="503"/>
      <c r="G145" s="503"/>
      <c r="H145" s="796"/>
      <c r="I145" s="796"/>
      <c r="J145" s="1106"/>
      <c r="N145" s="834">
        <f t="shared" si="4"/>
        <v>0</v>
      </c>
      <c r="P145" s="960">
        <f t="shared" si="5"/>
        <v>0</v>
      </c>
    </row>
    <row r="146" spans="1:16" ht="24" hidden="1" customHeight="1">
      <c r="A146" s="1185" t="s">
        <v>702</v>
      </c>
      <c r="B146" s="1186" t="s">
        <v>701</v>
      </c>
      <c r="C146" s="1056"/>
      <c r="D146" s="984"/>
      <c r="E146" s="984"/>
      <c r="F146" s="984"/>
      <c r="G146" s="984"/>
      <c r="H146" s="1056"/>
      <c r="I146" s="1056"/>
      <c r="J146" s="1187"/>
      <c r="N146" s="834">
        <f t="shared" si="4"/>
        <v>0</v>
      </c>
      <c r="P146" s="960">
        <f t="shared" si="5"/>
        <v>0</v>
      </c>
    </row>
    <row r="147" spans="1:16" ht="16.5" customHeight="1">
      <c r="A147" s="1037" t="s">
        <v>700</v>
      </c>
      <c r="B147" s="1037" t="s">
        <v>699</v>
      </c>
      <c r="C147" s="554"/>
      <c r="D147" s="1106">
        <v>1.1000000000000001</v>
      </c>
      <c r="E147" s="554"/>
      <c r="F147" s="554">
        <v>1.1000000000000001</v>
      </c>
      <c r="G147" s="554">
        <v>1.1000000000000001</v>
      </c>
      <c r="H147" s="554"/>
      <c r="I147" s="554">
        <v>1.1000000000000001</v>
      </c>
      <c r="J147" s="1106">
        <v>1.21</v>
      </c>
      <c r="N147" s="834">
        <f t="shared" si="4"/>
        <v>0</v>
      </c>
      <c r="P147" s="960">
        <f t="shared" si="5"/>
        <v>0</v>
      </c>
    </row>
    <row r="148" spans="1:16" ht="16.5" hidden="1" customHeight="1">
      <c r="A148" s="1177" t="s">
        <v>698</v>
      </c>
      <c r="B148" s="1178" t="s">
        <v>697</v>
      </c>
      <c r="C148" s="1057"/>
      <c r="D148" s="988"/>
      <c r="E148" s="988"/>
      <c r="F148" s="988"/>
      <c r="G148" s="988"/>
      <c r="H148" s="1057"/>
      <c r="I148" s="1057"/>
      <c r="J148" s="1179"/>
      <c r="N148" s="834">
        <f t="shared" si="4"/>
        <v>0</v>
      </c>
      <c r="P148" s="960">
        <f t="shared" si="5"/>
        <v>0</v>
      </c>
    </row>
    <row r="149" spans="1:16" ht="16.5" hidden="1" customHeight="1">
      <c r="A149" s="497" t="s">
        <v>696</v>
      </c>
      <c r="B149" s="498" t="s">
        <v>16</v>
      </c>
      <c r="C149" s="796"/>
      <c r="D149" s="503"/>
      <c r="E149" s="503"/>
      <c r="F149" s="503"/>
      <c r="G149" s="503"/>
      <c r="H149" s="796"/>
      <c r="I149" s="796"/>
      <c r="J149" s="1106"/>
      <c r="N149" s="834">
        <f t="shared" si="4"/>
        <v>0</v>
      </c>
      <c r="P149" s="960">
        <f t="shared" si="5"/>
        <v>0</v>
      </c>
    </row>
    <row r="150" spans="1:16" s="499" customFormat="1" ht="20.100000000000001" customHeight="1">
      <c r="A150" s="1180" t="s">
        <v>282</v>
      </c>
      <c r="B150" s="1181" t="s">
        <v>841</v>
      </c>
      <c r="C150" s="1182">
        <v>0</v>
      </c>
      <c r="D150" s="1182">
        <v>0</v>
      </c>
      <c r="E150" s="1182">
        <v>0</v>
      </c>
      <c r="F150" s="1182">
        <v>0</v>
      </c>
      <c r="G150" s="1182">
        <v>0</v>
      </c>
      <c r="H150" s="1182">
        <v>0</v>
      </c>
      <c r="I150" s="1183">
        <v>0</v>
      </c>
      <c r="J150" s="1184">
        <v>0</v>
      </c>
      <c r="N150" s="834">
        <f t="shared" si="4"/>
        <v>0</v>
      </c>
      <c r="P150" s="960">
        <f t="shared" si="5"/>
        <v>0</v>
      </c>
    </row>
    <row r="151" spans="1:16" ht="16.5" customHeight="1">
      <c r="A151" s="1037" t="s">
        <v>283</v>
      </c>
      <c r="B151" s="1037" t="s">
        <v>694</v>
      </c>
      <c r="C151" s="554"/>
      <c r="D151" s="554"/>
      <c r="E151" s="554"/>
      <c r="F151" s="554">
        <v>0</v>
      </c>
      <c r="G151" s="554"/>
      <c r="H151" s="554"/>
      <c r="I151" s="554"/>
      <c r="J151" s="1106"/>
      <c r="N151" s="834">
        <f t="shared" si="4"/>
        <v>0</v>
      </c>
      <c r="P151" s="960">
        <f t="shared" si="5"/>
        <v>0</v>
      </c>
    </row>
    <row r="152" spans="1:16" ht="16.5" customHeight="1">
      <c r="A152" s="1037" t="s">
        <v>284</v>
      </c>
      <c r="B152" s="1037" t="s">
        <v>693</v>
      </c>
      <c r="C152" s="554"/>
      <c r="D152" s="554"/>
      <c r="E152" s="554"/>
      <c r="F152" s="554">
        <v>0</v>
      </c>
      <c r="G152" s="554"/>
      <c r="H152" s="554"/>
      <c r="I152" s="554"/>
      <c r="J152" s="1106"/>
      <c r="N152" s="834">
        <f t="shared" si="4"/>
        <v>0</v>
      </c>
      <c r="P152" s="960">
        <f t="shared" si="5"/>
        <v>0</v>
      </c>
    </row>
    <row r="153" spans="1:16" ht="16.5" customHeight="1">
      <c r="A153" s="1037" t="s">
        <v>285</v>
      </c>
      <c r="B153" s="1037" t="s">
        <v>692</v>
      </c>
      <c r="C153" s="554"/>
      <c r="D153" s="554"/>
      <c r="E153" s="554"/>
      <c r="F153" s="554">
        <v>0</v>
      </c>
      <c r="G153" s="554"/>
      <c r="H153" s="554"/>
      <c r="I153" s="554"/>
      <c r="J153" s="1106"/>
      <c r="N153" s="834">
        <f t="shared" si="4"/>
        <v>0</v>
      </c>
      <c r="P153" s="960">
        <f t="shared" si="5"/>
        <v>0</v>
      </c>
    </row>
    <row r="154" spans="1:16" ht="16.5" customHeight="1">
      <c r="A154" s="1037" t="s">
        <v>286</v>
      </c>
      <c r="B154" s="1037" t="s">
        <v>691</v>
      </c>
      <c r="C154" s="554"/>
      <c r="D154" s="554"/>
      <c r="E154" s="554"/>
      <c r="F154" s="554">
        <v>0</v>
      </c>
      <c r="G154" s="554"/>
      <c r="H154" s="554"/>
      <c r="I154" s="554"/>
      <c r="J154" s="1106"/>
      <c r="N154" s="834">
        <f t="shared" si="4"/>
        <v>0</v>
      </c>
      <c r="P154" s="960">
        <f t="shared" si="5"/>
        <v>0</v>
      </c>
    </row>
    <row r="155" spans="1:16" s="499" customFormat="1" ht="30" customHeight="1">
      <c r="A155" s="1172" t="s">
        <v>685</v>
      </c>
      <c r="B155" s="1173" t="s">
        <v>839</v>
      </c>
      <c r="C155" s="1197">
        <v>9.1769999999999996</v>
      </c>
      <c r="D155" s="1197">
        <v>47.230000000000004</v>
      </c>
      <c r="E155" s="1197">
        <v>14.327999999999999</v>
      </c>
      <c r="F155" s="1197">
        <v>11.193</v>
      </c>
      <c r="G155" s="1197">
        <v>25.521000000000001</v>
      </c>
      <c r="H155" s="1197">
        <v>9.1769999999999996</v>
      </c>
      <c r="I155" s="1198">
        <v>36.730000000000004</v>
      </c>
      <c r="J155" s="1199">
        <v>48.64</v>
      </c>
      <c r="N155" s="834">
        <f t="shared" si="4"/>
        <v>0</v>
      </c>
      <c r="P155" s="960">
        <f t="shared" si="5"/>
        <v>0</v>
      </c>
    </row>
    <row r="156" spans="1:16" ht="16.5" customHeight="1">
      <c r="A156" s="1037" t="s">
        <v>163</v>
      </c>
      <c r="B156" s="1037" t="s">
        <v>164</v>
      </c>
      <c r="C156" s="554">
        <v>3.2930000000000001</v>
      </c>
      <c r="D156" s="1106">
        <v>4.4000000000000004</v>
      </c>
      <c r="E156" s="554">
        <v>0.68799999999999994</v>
      </c>
      <c r="F156" s="554">
        <v>1</v>
      </c>
      <c r="G156" s="554">
        <v>1.6879999999999999</v>
      </c>
      <c r="H156" s="554">
        <v>3.2930000000000001</v>
      </c>
      <c r="I156" s="554">
        <v>4.4000000000000004</v>
      </c>
      <c r="J156" s="1106">
        <v>4.84</v>
      </c>
      <c r="N156" s="834">
        <f t="shared" si="4"/>
        <v>0</v>
      </c>
      <c r="P156" s="960">
        <f t="shared" si="5"/>
        <v>0</v>
      </c>
    </row>
    <row r="157" spans="1:16" ht="16.5" customHeight="1">
      <c r="A157" s="1037" t="s">
        <v>165</v>
      </c>
      <c r="B157" s="1037" t="s">
        <v>166</v>
      </c>
      <c r="C157" s="554">
        <v>1.153</v>
      </c>
      <c r="D157" s="1106">
        <v>3.3000000000000003</v>
      </c>
      <c r="E157" s="554">
        <v>8.3000000000000004E-2</v>
      </c>
      <c r="F157" s="554">
        <v>1</v>
      </c>
      <c r="G157" s="554">
        <v>1.083</v>
      </c>
      <c r="H157" s="554">
        <v>1.153</v>
      </c>
      <c r="I157" s="554">
        <v>3.3000000000000003</v>
      </c>
      <c r="J157" s="1106">
        <v>3.63</v>
      </c>
      <c r="N157" s="834">
        <f t="shared" si="4"/>
        <v>0</v>
      </c>
      <c r="P157" s="960">
        <f t="shared" si="5"/>
        <v>0</v>
      </c>
    </row>
    <row r="158" spans="1:16" ht="16.5" customHeight="1">
      <c r="A158" s="1037" t="s">
        <v>167</v>
      </c>
      <c r="B158" s="1037" t="s">
        <v>690</v>
      </c>
      <c r="C158" s="554">
        <v>2.4E-2</v>
      </c>
      <c r="D158" s="1106">
        <v>1.1000000000000001</v>
      </c>
      <c r="E158" s="554">
        <v>0.23699999999999999</v>
      </c>
      <c r="F158" s="554">
        <v>0.8630000000000001</v>
      </c>
      <c r="G158" s="554">
        <v>1.1000000000000001</v>
      </c>
      <c r="H158" s="554">
        <v>2.4E-2</v>
      </c>
      <c r="I158" s="554">
        <v>1.1000000000000001</v>
      </c>
      <c r="J158" s="1106">
        <v>1.21</v>
      </c>
      <c r="N158" s="834">
        <f t="shared" si="4"/>
        <v>0</v>
      </c>
      <c r="P158" s="960">
        <f t="shared" si="5"/>
        <v>0</v>
      </c>
    </row>
    <row r="159" spans="1:16" ht="16.5" customHeight="1">
      <c r="A159" s="1037" t="s">
        <v>168</v>
      </c>
      <c r="B159" s="1037" t="s">
        <v>689</v>
      </c>
      <c r="C159" s="554"/>
      <c r="D159" s="1106">
        <v>0.33</v>
      </c>
      <c r="E159" s="554"/>
      <c r="F159" s="554">
        <v>0.33</v>
      </c>
      <c r="G159" s="554">
        <v>0.33</v>
      </c>
      <c r="H159" s="554"/>
      <c r="I159" s="554">
        <v>0.33</v>
      </c>
      <c r="J159" s="1106">
        <v>0.1</v>
      </c>
      <c r="N159" s="834">
        <f t="shared" si="4"/>
        <v>0</v>
      </c>
      <c r="P159" s="960">
        <f t="shared" si="5"/>
        <v>0</v>
      </c>
    </row>
    <row r="160" spans="1:16" ht="16.5" customHeight="1">
      <c r="A160" s="1037" t="s">
        <v>169</v>
      </c>
      <c r="B160" s="1037" t="s">
        <v>688</v>
      </c>
      <c r="C160" s="554">
        <v>1.66</v>
      </c>
      <c r="D160" s="1106">
        <v>3.3000000000000003</v>
      </c>
      <c r="E160" s="554">
        <v>1.425</v>
      </c>
      <c r="F160" s="554">
        <v>1</v>
      </c>
      <c r="G160" s="554">
        <v>2.4249999999999998</v>
      </c>
      <c r="H160" s="554">
        <v>1.66</v>
      </c>
      <c r="I160" s="554">
        <v>3.3000000000000003</v>
      </c>
      <c r="J160" s="1106">
        <v>3.63</v>
      </c>
      <c r="N160" s="834">
        <f t="shared" si="4"/>
        <v>0</v>
      </c>
      <c r="P160" s="960">
        <f t="shared" si="5"/>
        <v>0</v>
      </c>
    </row>
    <row r="161" spans="1:16" ht="16.5" customHeight="1">
      <c r="A161" s="1037" t="s">
        <v>170</v>
      </c>
      <c r="B161" s="1037" t="s">
        <v>687</v>
      </c>
      <c r="C161" s="554">
        <v>3.0470000000000002</v>
      </c>
      <c r="D161" s="1106">
        <v>3.3000000000000003</v>
      </c>
      <c r="E161" s="554">
        <v>1.0169999999999999</v>
      </c>
      <c r="F161" s="554">
        <v>1</v>
      </c>
      <c r="G161" s="554">
        <v>2.0169999999999999</v>
      </c>
      <c r="H161" s="554">
        <v>3.0470000000000002</v>
      </c>
      <c r="I161" s="554">
        <v>3.3000000000000003</v>
      </c>
      <c r="J161" s="1106">
        <v>3.63</v>
      </c>
      <c r="N161" s="834">
        <f t="shared" si="4"/>
        <v>0</v>
      </c>
      <c r="P161" s="960">
        <f t="shared" si="5"/>
        <v>0</v>
      </c>
    </row>
    <row r="162" spans="1:16" ht="16.5" hidden="1" customHeight="1">
      <c r="A162" s="1037" t="s">
        <v>171</v>
      </c>
      <c r="B162" s="1037" t="s">
        <v>686</v>
      </c>
      <c r="C162" s="554"/>
      <c r="D162" s="1106">
        <v>0</v>
      </c>
      <c r="E162" s="554"/>
      <c r="F162" s="554">
        <v>0</v>
      </c>
      <c r="G162" s="554">
        <v>0</v>
      </c>
      <c r="H162" s="554"/>
      <c r="I162" s="554">
        <v>0</v>
      </c>
      <c r="J162" s="1106">
        <v>0</v>
      </c>
      <c r="N162" s="834">
        <f t="shared" si="4"/>
        <v>0</v>
      </c>
      <c r="P162" s="960">
        <f t="shared" si="5"/>
        <v>0</v>
      </c>
    </row>
    <row r="163" spans="1:16" customFormat="1" ht="16.5" customHeight="1">
      <c r="A163" s="1037" t="s">
        <v>172</v>
      </c>
      <c r="B163" s="1037" t="s">
        <v>1425</v>
      </c>
      <c r="C163" s="1108"/>
      <c r="D163" s="1106">
        <v>30.5</v>
      </c>
      <c r="E163" s="554">
        <v>10.878</v>
      </c>
      <c r="F163" s="554">
        <v>6</v>
      </c>
      <c r="G163" s="554">
        <v>16.878</v>
      </c>
      <c r="H163" s="1108"/>
      <c r="I163" s="1108">
        <v>20</v>
      </c>
      <c r="J163" s="1106">
        <v>30.5</v>
      </c>
      <c r="N163" s="834">
        <f t="shared" si="4"/>
        <v>0</v>
      </c>
    </row>
    <row r="164" spans="1:16" ht="16.5" customHeight="1">
      <c r="A164" s="1037" t="s">
        <v>172</v>
      </c>
      <c r="B164" s="1037" t="s">
        <v>1495</v>
      </c>
      <c r="C164" s="554"/>
      <c r="D164" s="1106">
        <v>1</v>
      </c>
      <c r="E164" s="554"/>
      <c r="F164" s="554"/>
      <c r="G164" s="554">
        <v>0</v>
      </c>
      <c r="H164" s="554"/>
      <c r="I164" s="554">
        <v>1</v>
      </c>
      <c r="J164" s="1106">
        <v>1.1000000000000001</v>
      </c>
      <c r="N164" s="834">
        <f t="shared" si="4"/>
        <v>0</v>
      </c>
      <c r="P164" s="960">
        <f t="shared" si="5"/>
        <v>0</v>
      </c>
    </row>
    <row r="165" spans="1:16" s="499" customFormat="1" ht="30" hidden="1" customHeight="1">
      <c r="A165" s="1167" t="s">
        <v>173</v>
      </c>
      <c r="B165" s="1168" t="s">
        <v>840</v>
      </c>
      <c r="C165" s="1170"/>
      <c r="D165" s="1169">
        <v>0</v>
      </c>
      <c r="E165" s="1169">
        <v>0</v>
      </c>
      <c r="F165" s="1169">
        <v>0</v>
      </c>
      <c r="G165" s="1169">
        <v>0</v>
      </c>
      <c r="H165" s="1170"/>
      <c r="I165" s="1170">
        <v>0</v>
      </c>
      <c r="J165" s="1188"/>
      <c r="N165" s="834">
        <f t="shared" si="4"/>
        <v>0</v>
      </c>
      <c r="P165" s="960">
        <f t="shared" si="5"/>
        <v>0</v>
      </c>
    </row>
    <row r="166" spans="1:16" ht="24" hidden="1" customHeight="1">
      <c r="A166" s="497" t="s">
        <v>174</v>
      </c>
      <c r="B166" s="498" t="s">
        <v>684</v>
      </c>
      <c r="C166" s="796"/>
      <c r="D166" s="503"/>
      <c r="E166" s="503"/>
      <c r="F166" s="503"/>
      <c r="G166" s="503"/>
      <c r="H166" s="796"/>
      <c r="I166" s="796"/>
      <c r="J166" s="1106"/>
      <c r="N166" s="834">
        <f t="shared" si="4"/>
        <v>0</v>
      </c>
      <c r="P166" s="960">
        <f t="shared" si="5"/>
        <v>0</v>
      </c>
    </row>
    <row r="167" spans="1:16" ht="16.5" hidden="1" customHeight="1">
      <c r="A167" s="497" t="s">
        <v>175</v>
      </c>
      <c r="B167" s="498" t="s">
        <v>683</v>
      </c>
      <c r="C167" s="796"/>
      <c r="D167" s="503"/>
      <c r="E167" s="503"/>
      <c r="F167" s="503"/>
      <c r="G167" s="503"/>
      <c r="H167" s="796"/>
      <c r="I167" s="796"/>
      <c r="J167" s="1106"/>
      <c r="N167" s="834">
        <f t="shared" si="4"/>
        <v>0</v>
      </c>
      <c r="P167" s="960">
        <f t="shared" si="5"/>
        <v>0</v>
      </c>
    </row>
    <row r="168" spans="1:16" s="499" customFormat="1" ht="24.95" customHeight="1">
      <c r="A168" s="400"/>
      <c r="B168" s="401" t="s">
        <v>993</v>
      </c>
      <c r="C168" s="530">
        <v>1542.9560000000001</v>
      </c>
      <c r="D168" s="530">
        <v>1914.5263999999997</v>
      </c>
      <c r="E168" s="530">
        <v>1200.672</v>
      </c>
      <c r="F168" s="530">
        <v>667.71249999999998</v>
      </c>
      <c r="G168" s="530">
        <v>1868.3845000000001</v>
      </c>
      <c r="H168" s="530">
        <v>1545.0460000000003</v>
      </c>
      <c r="I168" s="1103">
        <v>1950.0063999999998</v>
      </c>
      <c r="J168" s="1104">
        <v>2001.8877</v>
      </c>
      <c r="M168" s="1130">
        <f>J168-2265.711</f>
        <v>-263.82329999999979</v>
      </c>
      <c r="N168" s="834">
        <f t="shared" si="4"/>
        <v>0</v>
      </c>
      <c r="P168" s="960">
        <f t="shared" si="5"/>
        <v>0</v>
      </c>
    </row>
    <row r="169" spans="1:16">
      <c r="P169" s="960">
        <f t="shared" si="5"/>
        <v>0</v>
      </c>
    </row>
    <row r="170" spans="1:16">
      <c r="D170" s="553"/>
      <c r="E170" s="553"/>
      <c r="F170" s="553"/>
      <c r="J170" s="553"/>
    </row>
    <row r="171" spans="1:16">
      <c r="E171" s="553"/>
    </row>
    <row r="174" spans="1:16" s="158" customFormat="1" ht="15">
      <c r="G174" s="1279"/>
      <c r="H174" s="1279"/>
      <c r="I174" s="1279"/>
      <c r="N174" s="513"/>
    </row>
  </sheetData>
  <mergeCells count="11">
    <mergeCell ref="J6:J7"/>
    <mergeCell ref="A8:I8"/>
    <mergeCell ref="A96:I96"/>
    <mergeCell ref="G174:I174"/>
    <mergeCell ref="A2:I2"/>
    <mergeCell ref="A4:I4"/>
    <mergeCell ref="A6:A7"/>
    <mergeCell ref="B6:B7"/>
    <mergeCell ref="C6:C7"/>
    <mergeCell ref="I6:I7"/>
    <mergeCell ref="D6:H6"/>
  </mergeCells>
  <printOptions horizontalCentered="1"/>
  <pageMargins left="0.45" right="0.5" top="0.5" bottom="0.5" header="0.5" footer="0.15"/>
  <pageSetup scale="6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topLeftCell="A4" workbookViewId="0">
      <pane xSplit="2" ySplit="6" topLeftCell="C10" activePane="bottomRight" state="frozen"/>
      <selection activeCell="A4" sqref="A4"/>
      <selection pane="topRight" activeCell="C4" sqref="C4"/>
      <selection pane="bottomLeft" activeCell="A8" sqref="A8"/>
      <selection pane="bottomRight" activeCell="H23" sqref="H23"/>
    </sheetView>
  </sheetViews>
  <sheetFormatPr defaultRowHeight="15"/>
  <cols>
    <col min="1" max="1" width="10.28515625" bestFit="1" customWidth="1"/>
    <col min="2" max="2" width="41.140625" customWidth="1"/>
    <col min="3" max="3" width="12" customWidth="1"/>
    <col min="4" max="4" width="10.42578125" customWidth="1"/>
    <col min="5" max="5" width="14.5703125" hidden="1" customWidth="1"/>
    <col min="6" max="6" width="15.140625" hidden="1" customWidth="1"/>
    <col min="7" max="7" width="10.42578125" customWidth="1"/>
    <col min="8" max="8" width="10.28515625" customWidth="1"/>
    <col min="9" max="9" width="9.85546875" customWidth="1"/>
    <col min="10" max="10" width="10.5703125" customWidth="1"/>
  </cols>
  <sheetData>
    <row r="1" spans="1:17" ht="23.25">
      <c r="A1" s="1306" t="s">
        <v>992</v>
      </c>
      <c r="B1" s="1306"/>
      <c r="C1" s="1306"/>
      <c r="D1" s="1306"/>
      <c r="E1" s="1306"/>
      <c r="F1" s="1306"/>
      <c r="G1" s="1306"/>
      <c r="H1" s="1306"/>
      <c r="I1" s="1306"/>
      <c r="J1" s="1017"/>
    </row>
    <row r="2" spans="1:17" ht="18">
      <c r="A2" s="491"/>
      <c r="B2" s="491"/>
      <c r="C2" s="491"/>
      <c r="D2" s="491"/>
      <c r="E2" s="491"/>
      <c r="F2" s="491"/>
      <c r="G2" s="491"/>
      <c r="H2" s="491"/>
      <c r="I2" s="491"/>
      <c r="J2" s="491"/>
    </row>
    <row r="3" spans="1:17" ht="15.75">
      <c r="A3" s="1270"/>
      <c r="B3" s="1270"/>
      <c r="C3" s="1270"/>
      <c r="D3" s="1270"/>
      <c r="E3" s="1270"/>
      <c r="F3" s="1270"/>
      <c r="G3" s="1270"/>
      <c r="H3" s="1270"/>
      <c r="I3" s="1270"/>
      <c r="J3" s="1016"/>
    </row>
    <row r="4" spans="1:17" ht="15.75">
      <c r="A4" s="1316" t="s">
        <v>1500</v>
      </c>
      <c r="B4" s="1316"/>
      <c r="C4" s="1316"/>
      <c r="D4" s="1316"/>
      <c r="E4" s="1316"/>
      <c r="F4" s="1316"/>
      <c r="G4" s="1316"/>
      <c r="H4" s="1316"/>
      <c r="I4" s="1316"/>
      <c r="J4" s="1316"/>
    </row>
    <row r="5" spans="1:17" ht="15.75">
      <c r="A5" s="159"/>
      <c r="B5" s="171"/>
      <c r="C5" s="494"/>
      <c r="D5" s="494"/>
      <c r="E5" s="494"/>
      <c r="F5" s="494"/>
      <c r="G5" s="494"/>
      <c r="H5" s="494"/>
      <c r="I5" s="181" t="s">
        <v>994</v>
      </c>
      <c r="J5" s="181"/>
    </row>
    <row r="6" spans="1:17">
      <c r="A6" s="1296" t="s">
        <v>161</v>
      </c>
      <c r="B6" s="1296" t="s">
        <v>826</v>
      </c>
      <c r="C6" s="1239" t="s">
        <v>1109</v>
      </c>
      <c r="D6" s="1252" t="s">
        <v>1092</v>
      </c>
      <c r="E6" s="1253"/>
      <c r="F6" s="1253"/>
      <c r="G6" s="1254"/>
      <c r="H6" s="1297" t="s">
        <v>1501</v>
      </c>
      <c r="I6" s="1297" t="s">
        <v>1091</v>
      </c>
      <c r="J6" s="1297" t="s">
        <v>1502</v>
      </c>
    </row>
    <row r="7" spans="1:17" ht="25.5">
      <c r="A7" s="1296"/>
      <c r="B7" s="1296"/>
      <c r="C7" s="1239"/>
      <c r="D7" s="1018" t="s">
        <v>818</v>
      </c>
      <c r="E7" s="884" t="s">
        <v>1417</v>
      </c>
      <c r="F7" s="884" t="s">
        <v>1421</v>
      </c>
      <c r="G7" s="1018" t="s">
        <v>819</v>
      </c>
      <c r="H7" s="1315"/>
      <c r="I7" s="1307"/>
      <c r="J7" s="1315"/>
    </row>
    <row r="8" spans="1:17">
      <c r="A8" s="1029"/>
      <c r="B8" s="1030"/>
      <c r="C8" s="1031"/>
      <c r="D8" s="1032"/>
      <c r="E8" s="1033"/>
      <c r="F8" s="1033"/>
      <c r="G8" s="1032"/>
      <c r="H8" s="1032"/>
      <c r="I8" s="1032"/>
      <c r="J8" s="1032"/>
    </row>
    <row r="9" spans="1:17" ht="24.95" customHeight="1">
      <c r="A9" s="1308" t="s">
        <v>1496</v>
      </c>
      <c r="B9" s="1308"/>
      <c r="C9" s="1308"/>
      <c r="D9" s="1308"/>
      <c r="E9" s="1308"/>
      <c r="F9" s="1308"/>
      <c r="G9" s="1308"/>
      <c r="H9" s="1308"/>
      <c r="I9" s="1308"/>
      <c r="J9" s="1308"/>
    </row>
    <row r="10" spans="1:17" s="158" customFormat="1" ht="24.95" customHeight="1">
      <c r="A10" s="1028" t="s">
        <v>24</v>
      </c>
      <c r="B10" s="1028" t="s">
        <v>25</v>
      </c>
      <c r="C10" s="554">
        <v>2.09</v>
      </c>
      <c r="D10" s="554">
        <v>2.9849999999999999</v>
      </c>
      <c r="E10" s="554">
        <v>1.0029999999999999</v>
      </c>
      <c r="F10" s="554">
        <f t="shared" ref="F10:F11" si="0">+G10-E10</f>
        <v>2.0632999999999999</v>
      </c>
      <c r="G10" s="554">
        <f>3066300/1000000</f>
        <v>3.0663</v>
      </c>
      <c r="H10" s="554">
        <f>G10/12</f>
        <v>0.255525</v>
      </c>
      <c r="I10" s="554">
        <f>3066300/1000000</f>
        <v>3.0663</v>
      </c>
      <c r="J10" s="554">
        <f>+I10/12</f>
        <v>0.255525</v>
      </c>
      <c r="Q10" s="601">
        <f>+E10+F10-G10</f>
        <v>0</v>
      </c>
    </row>
    <row r="11" spans="1:17" s="158" customFormat="1" ht="24.95" customHeight="1">
      <c r="A11" s="1028" t="s">
        <v>28</v>
      </c>
      <c r="B11" s="1028" t="s">
        <v>29</v>
      </c>
      <c r="C11" s="554">
        <f>80.773+0.388</f>
        <v>81.161000000000001</v>
      </c>
      <c r="D11" s="554">
        <v>96.338999999999999</v>
      </c>
      <c r="E11" s="554">
        <v>38.981999999999999</v>
      </c>
      <c r="F11" s="554">
        <f t="shared" si="0"/>
        <v>61.187777999999994</v>
      </c>
      <c r="G11" s="554">
        <f>91961778/1000000+8208000/1000000</f>
        <v>100.16977799999999</v>
      </c>
      <c r="H11" s="554">
        <f t="shared" ref="H11:H17" si="1">G11/12</f>
        <v>8.3474814999999989</v>
      </c>
      <c r="I11" s="554">
        <f>91961778/1000000+8208000/1000000</f>
        <v>100.16977799999999</v>
      </c>
      <c r="J11" s="554">
        <f t="shared" ref="J11:J17" si="2">+I11/12</f>
        <v>8.3474814999999989</v>
      </c>
      <c r="Q11" s="601">
        <f>+E11+F11-G11</f>
        <v>0</v>
      </c>
    </row>
    <row r="12" spans="1:17" s="158" customFormat="1" ht="24.95" customHeight="1">
      <c r="A12" s="1028" t="s">
        <v>42</v>
      </c>
      <c r="B12" s="1028" t="s">
        <v>43</v>
      </c>
      <c r="C12" s="554">
        <f>32.446+2.948</f>
        <v>35.393999999999998</v>
      </c>
      <c r="D12" s="554">
        <f>29.29+4.25</f>
        <v>33.54</v>
      </c>
      <c r="E12" s="554">
        <f>16.017+1.542</f>
        <v>17.559000000000001</v>
      </c>
      <c r="F12" s="554">
        <f>+G12-E12</f>
        <v>20.151</v>
      </c>
      <c r="G12" s="554">
        <f>37710000/1000000</f>
        <v>37.71</v>
      </c>
      <c r="H12" s="554">
        <f t="shared" si="1"/>
        <v>3.1425000000000001</v>
      </c>
      <c r="I12" s="554">
        <f>36710000/1000000</f>
        <v>36.71</v>
      </c>
      <c r="J12" s="554">
        <f t="shared" si="2"/>
        <v>3.0591666666666666</v>
      </c>
      <c r="Q12" s="601">
        <f>+E12+F12-G12</f>
        <v>0</v>
      </c>
    </row>
    <row r="13" spans="1:17" ht="24.95" customHeight="1">
      <c r="A13" s="1028" t="s">
        <v>48</v>
      </c>
      <c r="B13" s="1028" t="s">
        <v>49</v>
      </c>
      <c r="C13" s="554">
        <v>2.0710000000000002</v>
      </c>
      <c r="D13" s="554">
        <v>2.6819999999999999</v>
      </c>
      <c r="E13" s="554">
        <v>0.96199999999999997</v>
      </c>
      <c r="F13" s="554">
        <f t="shared" ref="F13:F14" si="3">+G13-E13</f>
        <v>1.8056500000000002</v>
      </c>
      <c r="G13" s="554">
        <f>2767650/1000000</f>
        <v>2.7676500000000002</v>
      </c>
      <c r="H13" s="554">
        <f t="shared" si="1"/>
        <v>0.23063750000000002</v>
      </c>
      <c r="I13" s="554">
        <f>2767650/1000000</f>
        <v>2.7676500000000002</v>
      </c>
      <c r="J13" s="554">
        <f t="shared" si="2"/>
        <v>0.23063750000000002</v>
      </c>
    </row>
    <row r="14" spans="1:17" ht="24.95" customHeight="1">
      <c r="A14" s="1028" t="s">
        <v>50</v>
      </c>
      <c r="B14" s="1028" t="s">
        <v>51</v>
      </c>
      <c r="C14" s="554">
        <v>0.91300000000000003</v>
      </c>
      <c r="D14" s="554">
        <v>0.70199999999999996</v>
      </c>
      <c r="E14" s="554">
        <v>0.39100000000000001</v>
      </c>
      <c r="F14" s="554">
        <f t="shared" si="3"/>
        <v>0.36499999999999999</v>
      </c>
      <c r="G14" s="554">
        <f>756000/1000000</f>
        <v>0.75600000000000001</v>
      </c>
      <c r="H14" s="554">
        <f t="shared" si="1"/>
        <v>6.3E-2</v>
      </c>
      <c r="I14" s="554">
        <f>756000/1000000</f>
        <v>0.75600000000000001</v>
      </c>
      <c r="J14" s="554">
        <f t="shared" si="2"/>
        <v>6.3E-2</v>
      </c>
    </row>
    <row r="15" spans="1:17" ht="24.95" hidden="1" customHeight="1">
      <c r="A15" s="1028" t="s">
        <v>52</v>
      </c>
      <c r="B15" s="1028" t="s">
        <v>53</v>
      </c>
      <c r="C15" s="554"/>
      <c r="D15" s="554"/>
      <c r="E15" s="554"/>
      <c r="F15" s="554"/>
      <c r="G15" s="554"/>
      <c r="H15" s="554">
        <f t="shared" si="1"/>
        <v>0</v>
      </c>
      <c r="I15" s="554"/>
      <c r="J15" s="554">
        <f t="shared" si="2"/>
        <v>0</v>
      </c>
    </row>
    <row r="16" spans="1:17" ht="24.95" customHeight="1">
      <c r="A16" s="1028" t="s">
        <v>54</v>
      </c>
      <c r="B16" s="1028" t="s">
        <v>55</v>
      </c>
      <c r="C16" s="554">
        <v>21.86</v>
      </c>
      <c r="D16" s="554">
        <v>32.136000000000003</v>
      </c>
      <c r="E16" s="554">
        <v>10.311</v>
      </c>
      <c r="F16" s="554">
        <f>+G16-E16</f>
        <v>22.917000000000002</v>
      </c>
      <c r="G16" s="554">
        <f>33228000/1000000</f>
        <v>33.228000000000002</v>
      </c>
      <c r="H16" s="554">
        <f t="shared" si="1"/>
        <v>2.7690000000000001</v>
      </c>
      <c r="I16" s="554">
        <f>33228000/1000000</f>
        <v>33.228000000000002</v>
      </c>
      <c r="J16" s="554">
        <f t="shared" si="2"/>
        <v>2.7690000000000001</v>
      </c>
    </row>
    <row r="17" spans="1:17" ht="24.95" customHeight="1">
      <c r="A17" s="1028" t="s">
        <v>64</v>
      </c>
      <c r="B17" s="1028" t="s">
        <v>857</v>
      </c>
      <c r="C17" s="554">
        <v>2.9750000000000001</v>
      </c>
      <c r="D17" s="554">
        <v>3.1429999999999998</v>
      </c>
      <c r="E17" s="554">
        <v>1.6040000000000001</v>
      </c>
      <c r="F17" s="554">
        <f>+G17-E17</f>
        <v>1.9094799999999998</v>
      </c>
      <c r="G17" s="554">
        <f>3513480/1000000</f>
        <v>3.5134799999999999</v>
      </c>
      <c r="H17" s="554">
        <f t="shared" si="1"/>
        <v>0.29278999999999999</v>
      </c>
      <c r="I17" s="554">
        <f>3513480/1000000</f>
        <v>3.5134799999999999</v>
      </c>
      <c r="J17" s="554">
        <f t="shared" si="2"/>
        <v>0.29278999999999999</v>
      </c>
    </row>
    <row r="18" spans="1:17" ht="24.95" customHeight="1">
      <c r="A18" s="1034"/>
      <c r="B18" s="1035" t="s">
        <v>138</v>
      </c>
      <c r="C18" s="1036">
        <f>SUM(C10:C17)</f>
        <v>146.464</v>
      </c>
      <c r="D18" s="1036">
        <f t="shared" ref="D18:J18" si="4">SUM(D10:D17)</f>
        <v>171.52699999999999</v>
      </c>
      <c r="E18" s="1036">
        <f t="shared" si="4"/>
        <v>70.811999999999998</v>
      </c>
      <c r="F18" s="1036">
        <f t="shared" si="4"/>
        <v>110.39920799999999</v>
      </c>
      <c r="G18" s="1036">
        <f t="shared" si="4"/>
        <v>181.211208</v>
      </c>
      <c r="H18" s="1036">
        <f t="shared" si="4"/>
        <v>15.100934000000001</v>
      </c>
      <c r="I18" s="1036">
        <f t="shared" si="4"/>
        <v>180.211208</v>
      </c>
      <c r="J18" s="1036">
        <f t="shared" si="4"/>
        <v>15.017600666666667</v>
      </c>
    </row>
    <row r="19" spans="1:17" ht="24.95" customHeight="1">
      <c r="A19" s="1312" t="s">
        <v>91</v>
      </c>
      <c r="B19" s="1313"/>
      <c r="C19" s="1313"/>
      <c r="D19" s="1313"/>
      <c r="E19" s="1313"/>
      <c r="F19" s="1313"/>
      <c r="G19" s="1313"/>
      <c r="H19" s="1313"/>
      <c r="I19" s="1313"/>
      <c r="J19" s="1314"/>
    </row>
    <row r="20" spans="1:17" ht="24.95" customHeight="1">
      <c r="A20" s="1028" t="s">
        <v>76</v>
      </c>
      <c r="B20" s="1028" t="s">
        <v>1497</v>
      </c>
      <c r="C20" s="554">
        <v>5.4459999999999997</v>
      </c>
      <c r="D20" s="554">
        <v>5</v>
      </c>
      <c r="E20" s="554">
        <v>2.1429999999999998</v>
      </c>
      <c r="F20" s="554">
        <f>+G20-E20</f>
        <v>2.8570000000000002</v>
      </c>
      <c r="G20" s="554">
        <f>+D20</f>
        <v>5</v>
      </c>
      <c r="H20" s="554">
        <f t="shared" ref="H20:H23" si="5">G20/12</f>
        <v>0.41666666666666669</v>
      </c>
      <c r="I20" s="554">
        <f>G20*1.1</f>
        <v>5.5</v>
      </c>
      <c r="J20" s="554">
        <f t="shared" ref="J20:J23" si="6">+I20/12</f>
        <v>0.45833333333333331</v>
      </c>
    </row>
    <row r="21" spans="1:17" ht="24.95" customHeight="1">
      <c r="A21" s="1028" t="s">
        <v>80</v>
      </c>
      <c r="B21" s="1028" t="s">
        <v>81</v>
      </c>
      <c r="C21" s="554">
        <v>4.008</v>
      </c>
      <c r="D21" s="554">
        <v>5</v>
      </c>
      <c r="E21" s="554">
        <v>2.532</v>
      </c>
      <c r="F21" s="554">
        <f>+G21-E21</f>
        <v>2.468</v>
      </c>
      <c r="G21" s="554">
        <f t="shared" ref="G21:G23" si="7">+D21</f>
        <v>5</v>
      </c>
      <c r="H21" s="554">
        <f t="shared" si="5"/>
        <v>0.41666666666666669</v>
      </c>
      <c r="I21" s="554">
        <f>G21*1.1</f>
        <v>5.5</v>
      </c>
      <c r="J21" s="554">
        <f t="shared" si="6"/>
        <v>0.45833333333333331</v>
      </c>
    </row>
    <row r="22" spans="1:17" ht="24.95" customHeight="1">
      <c r="A22" s="1028" t="s">
        <v>84</v>
      </c>
      <c r="B22" s="1028" t="s">
        <v>85</v>
      </c>
      <c r="C22" s="554">
        <v>113.717</v>
      </c>
      <c r="D22" s="554">
        <v>110</v>
      </c>
      <c r="E22" s="554">
        <v>70.352000000000004</v>
      </c>
      <c r="F22" s="554">
        <f>+E22</f>
        <v>70.352000000000004</v>
      </c>
      <c r="G22" s="554">
        <f>+F22+E22</f>
        <v>140.70400000000001</v>
      </c>
      <c r="H22" s="554">
        <f t="shared" si="5"/>
        <v>11.725333333333333</v>
      </c>
      <c r="I22" s="554">
        <v>121</v>
      </c>
      <c r="J22" s="554">
        <f t="shared" si="6"/>
        <v>10.083333333333334</v>
      </c>
    </row>
    <row r="23" spans="1:17" ht="24.95" customHeight="1">
      <c r="A23" s="1028" t="s">
        <v>1134</v>
      </c>
      <c r="B23" s="1028" t="s">
        <v>1498</v>
      </c>
      <c r="C23" s="554">
        <v>7.4669999999999996</v>
      </c>
      <c r="D23" s="554">
        <v>6</v>
      </c>
      <c r="E23" s="554">
        <v>3.8330000000000002</v>
      </c>
      <c r="F23" s="554">
        <f t="shared" ref="F23" si="8">+G23-E23</f>
        <v>2.1669999999999998</v>
      </c>
      <c r="G23" s="554">
        <f t="shared" si="7"/>
        <v>6</v>
      </c>
      <c r="H23" s="554">
        <f t="shared" si="5"/>
        <v>0.5</v>
      </c>
      <c r="I23" s="554">
        <f>G23*1.1</f>
        <v>6.6000000000000005</v>
      </c>
      <c r="J23" s="554">
        <f t="shared" si="6"/>
        <v>0.55000000000000004</v>
      </c>
    </row>
    <row r="24" spans="1:17" ht="24.95" customHeight="1">
      <c r="A24" s="1034"/>
      <c r="B24" s="1035" t="s">
        <v>138</v>
      </c>
      <c r="C24" s="1036">
        <f>SUM(C20:C23)</f>
        <v>130.63800000000001</v>
      </c>
      <c r="D24" s="1036">
        <f t="shared" ref="D24:J24" si="9">SUM(D20:D23)</f>
        <v>126</v>
      </c>
      <c r="E24" s="1036">
        <f t="shared" si="9"/>
        <v>78.86</v>
      </c>
      <c r="F24" s="1036">
        <f t="shared" si="9"/>
        <v>77.844000000000008</v>
      </c>
      <c r="G24" s="1036">
        <f t="shared" si="9"/>
        <v>156.70400000000001</v>
      </c>
      <c r="H24" s="1036">
        <f t="shared" si="9"/>
        <v>13.058666666666667</v>
      </c>
      <c r="I24" s="1036">
        <f t="shared" si="9"/>
        <v>138.6</v>
      </c>
      <c r="J24" s="1036">
        <f t="shared" si="9"/>
        <v>11.55</v>
      </c>
    </row>
    <row r="25" spans="1:17" ht="24.95" customHeight="1">
      <c r="A25" s="1309" t="s">
        <v>1499</v>
      </c>
      <c r="B25" s="1310"/>
      <c r="C25" s="1310"/>
      <c r="D25" s="1310"/>
      <c r="E25" s="1310"/>
      <c r="F25" s="1310"/>
      <c r="G25" s="1310"/>
      <c r="H25" s="1310"/>
      <c r="I25" s="1310"/>
      <c r="J25" s="1311"/>
    </row>
    <row r="26" spans="1:17" s="495" customFormat="1" ht="24.95" customHeight="1">
      <c r="A26" s="1037" t="s">
        <v>200</v>
      </c>
      <c r="B26" s="1037" t="s">
        <v>813</v>
      </c>
      <c r="C26" s="554">
        <f>+'105'!C13</f>
        <v>1.0009999999999999</v>
      </c>
      <c r="D26" s="554">
        <f>+'105'!D13</f>
        <v>1.6500000000000001</v>
      </c>
      <c r="E26" s="554">
        <f>+'105'!E13</f>
        <v>1.75</v>
      </c>
      <c r="F26" s="554">
        <f>+'105'!F13</f>
        <v>0</v>
      </c>
      <c r="G26" s="554">
        <f>+'105'!G13</f>
        <v>1.75</v>
      </c>
      <c r="H26" s="554">
        <f t="shared" ref="H26:H40" si="10">G26/12</f>
        <v>0.14583333333333334</v>
      </c>
      <c r="I26" s="554">
        <f>+'105'!I13</f>
        <v>1.6500000000000001</v>
      </c>
      <c r="J26" s="554">
        <f t="shared" ref="J26:J40" si="11">+I26/12</f>
        <v>0.13750000000000001</v>
      </c>
      <c r="O26" s="834">
        <f t="shared" ref="O26" si="12">SUM(I26/4)</f>
        <v>0.41250000000000003</v>
      </c>
      <c r="Q26" s="960">
        <f t="shared" ref="Q26" si="13">+E26+F26-G26</f>
        <v>0</v>
      </c>
    </row>
    <row r="27" spans="1:17" ht="24.95" customHeight="1">
      <c r="A27" s="1037" t="s">
        <v>212</v>
      </c>
      <c r="B27" s="1037" t="s">
        <v>1419</v>
      </c>
      <c r="C27" s="554">
        <v>36.268999999999998</v>
      </c>
      <c r="D27" s="554">
        <v>30</v>
      </c>
      <c r="E27" s="554">
        <v>13.634</v>
      </c>
      <c r="F27" s="554">
        <f>+G27-E27</f>
        <v>28.366</v>
      </c>
      <c r="G27" s="554">
        <v>42</v>
      </c>
      <c r="H27" s="554">
        <f t="shared" si="10"/>
        <v>3.5</v>
      </c>
      <c r="I27" s="554">
        <v>62.664999999999999</v>
      </c>
      <c r="J27" s="554">
        <f t="shared" si="11"/>
        <v>5.222083333333333</v>
      </c>
    </row>
    <row r="28" spans="1:17" ht="24.95" customHeight="1">
      <c r="A28" s="1037" t="s">
        <v>213</v>
      </c>
      <c r="B28" s="1037" t="s">
        <v>1420</v>
      </c>
      <c r="C28" s="554">
        <v>89.546999999999997</v>
      </c>
      <c r="D28" s="554">
        <v>85</v>
      </c>
      <c r="E28" s="554">
        <v>41.225999999999999</v>
      </c>
      <c r="F28" s="554">
        <f t="shared" ref="F28:F31" si="14">+G28-E28</f>
        <v>48.879000000000005</v>
      </c>
      <c r="G28" s="554">
        <v>90.105000000000004</v>
      </c>
      <c r="H28" s="554">
        <f t="shared" si="10"/>
        <v>7.50875</v>
      </c>
      <c r="I28" s="554">
        <v>134.44</v>
      </c>
      <c r="J28" s="554">
        <f t="shared" si="11"/>
        <v>11.203333333333333</v>
      </c>
    </row>
    <row r="29" spans="1:17" ht="24.95" customHeight="1">
      <c r="A29" s="1037" t="s">
        <v>227</v>
      </c>
      <c r="B29" s="1037" t="s">
        <v>775</v>
      </c>
      <c r="C29" s="554">
        <f>+'105'!C52</f>
        <v>13.037000000000001</v>
      </c>
      <c r="D29" s="554">
        <f>+'105'!D52</f>
        <v>15.955</v>
      </c>
      <c r="E29" s="554">
        <f>+'105'!E52</f>
        <v>13.692</v>
      </c>
      <c r="F29" s="554">
        <f>+'105'!F52</f>
        <v>2.2629999999999999</v>
      </c>
      <c r="G29" s="554">
        <f>+'105'!G52</f>
        <v>15.955</v>
      </c>
      <c r="H29" s="554">
        <f t="shared" si="10"/>
        <v>1.3295833333333333</v>
      </c>
      <c r="I29" s="554">
        <f>+'105'!I52</f>
        <v>15.955</v>
      </c>
      <c r="J29" s="554">
        <f t="shared" si="11"/>
        <v>1.3295833333333333</v>
      </c>
    </row>
    <row r="30" spans="1:17" ht="24.95" hidden="1" customHeight="1">
      <c r="A30" s="1037" t="s">
        <v>228</v>
      </c>
      <c r="B30" s="1037" t="s">
        <v>774</v>
      </c>
      <c r="C30" s="554"/>
      <c r="D30" s="554"/>
      <c r="E30" s="554"/>
      <c r="F30" s="554">
        <f t="shared" si="14"/>
        <v>0</v>
      </c>
      <c r="G30" s="554"/>
      <c r="H30" s="554">
        <f t="shared" si="10"/>
        <v>0</v>
      </c>
      <c r="I30" s="554"/>
      <c r="J30" s="554">
        <f t="shared" si="11"/>
        <v>0</v>
      </c>
    </row>
    <row r="31" spans="1:17" ht="24.95" customHeight="1">
      <c r="A31" s="1037" t="s">
        <v>229</v>
      </c>
      <c r="B31" s="1037" t="s">
        <v>773</v>
      </c>
      <c r="C31" s="554">
        <v>0.78900000000000003</v>
      </c>
      <c r="D31" s="554">
        <v>1</v>
      </c>
      <c r="E31" s="554">
        <v>0.312</v>
      </c>
      <c r="F31" s="554">
        <f t="shared" si="14"/>
        <v>0.68799999999999994</v>
      </c>
      <c r="G31" s="554">
        <f>+D31</f>
        <v>1</v>
      </c>
      <c r="H31" s="554">
        <f t="shared" si="10"/>
        <v>8.3333333333333329E-2</v>
      </c>
      <c r="I31" s="554">
        <f t="shared" ref="I31" si="15">G31*1.1</f>
        <v>1.1000000000000001</v>
      </c>
      <c r="J31" s="554">
        <f t="shared" si="11"/>
        <v>9.1666666666666674E-2</v>
      </c>
    </row>
    <row r="32" spans="1:17" s="495" customFormat="1" ht="24.95" customHeight="1">
      <c r="A32" s="1037" t="s">
        <v>260</v>
      </c>
      <c r="B32" s="1037" t="s">
        <v>1000</v>
      </c>
      <c r="C32" s="554">
        <v>66.429000000000002</v>
      </c>
      <c r="D32" s="554">
        <v>75</v>
      </c>
      <c r="E32" s="554">
        <v>32.173999999999999</v>
      </c>
      <c r="F32" s="554">
        <f>70-E32</f>
        <v>37.826000000000001</v>
      </c>
      <c r="G32" s="554">
        <f>+F32+E32-8.5</f>
        <v>61.5</v>
      </c>
      <c r="H32" s="554">
        <f t="shared" si="10"/>
        <v>5.125</v>
      </c>
      <c r="I32" s="554">
        <v>70</v>
      </c>
      <c r="J32" s="554">
        <f t="shared" si="11"/>
        <v>5.833333333333333</v>
      </c>
      <c r="O32" s="834">
        <f t="shared" ref="O32:O33" si="16">SUM(I32/4)</f>
        <v>17.5</v>
      </c>
      <c r="Q32" s="960">
        <f t="shared" ref="Q32:Q33" si="17">+E32+F32-G32</f>
        <v>8.5</v>
      </c>
    </row>
    <row r="33" spans="1:17" s="495" customFormat="1" ht="24.95" customHeight="1">
      <c r="A33" s="1037" t="s">
        <v>997</v>
      </c>
      <c r="B33" s="1037" t="s">
        <v>1384</v>
      </c>
      <c r="C33" s="554">
        <v>14.263</v>
      </c>
      <c r="D33" s="554">
        <f>12.5+3.5</f>
        <v>16</v>
      </c>
      <c r="E33" s="554">
        <f>3.679+0.207</f>
        <v>3.8859999999999997</v>
      </c>
      <c r="F33" s="554">
        <f>10-E33</f>
        <v>6.1140000000000008</v>
      </c>
      <c r="G33" s="554">
        <f>+E33+F33</f>
        <v>10</v>
      </c>
      <c r="H33" s="554">
        <f t="shared" si="10"/>
        <v>0.83333333333333337</v>
      </c>
      <c r="I33" s="554">
        <f t="shared" ref="I33" si="18">G33*1.1</f>
        <v>11</v>
      </c>
      <c r="J33" s="554">
        <f t="shared" si="11"/>
        <v>0.91666666666666663</v>
      </c>
      <c r="O33" s="834">
        <f t="shared" si="16"/>
        <v>2.75</v>
      </c>
      <c r="Q33" s="960">
        <f t="shared" si="17"/>
        <v>0</v>
      </c>
    </row>
    <row r="34" spans="1:17" ht="24.95" customHeight="1">
      <c r="A34" s="1037" t="s">
        <v>998</v>
      </c>
      <c r="B34" s="1037" t="s">
        <v>1002</v>
      </c>
      <c r="C34" s="554">
        <v>24.355</v>
      </c>
      <c r="D34" s="554">
        <v>20</v>
      </c>
      <c r="E34" s="554">
        <v>10.981</v>
      </c>
      <c r="F34" s="554">
        <f t="shared" ref="F34" si="19">+G34-E34</f>
        <v>17.518999999999998</v>
      </c>
      <c r="G34" s="554">
        <f>+D34+8.5</f>
        <v>28.5</v>
      </c>
      <c r="H34" s="554">
        <f t="shared" si="10"/>
        <v>2.375</v>
      </c>
      <c r="I34" s="554">
        <v>22</v>
      </c>
      <c r="J34" s="554">
        <f t="shared" si="11"/>
        <v>1.8333333333333333</v>
      </c>
    </row>
    <row r="35" spans="1:17" ht="24.95" customHeight="1">
      <c r="A35" s="447" t="s">
        <v>1163</v>
      </c>
      <c r="B35" s="1038" t="s">
        <v>1164</v>
      </c>
      <c r="C35" s="554">
        <v>1.4490000000000001</v>
      </c>
      <c r="D35" s="554">
        <v>2.5</v>
      </c>
      <c r="E35" s="554">
        <v>7.4999999999999997E-2</v>
      </c>
      <c r="F35" s="554">
        <f>1-E35</f>
        <v>0.92500000000000004</v>
      </c>
      <c r="G35" s="554">
        <f>+F35+E35</f>
        <v>1</v>
      </c>
      <c r="H35" s="554">
        <f t="shared" si="10"/>
        <v>8.3333333333333329E-2</v>
      </c>
      <c r="I35" s="554">
        <f t="shared" ref="I35" si="20">G35*1.1</f>
        <v>1.1000000000000001</v>
      </c>
      <c r="J35" s="554">
        <f t="shared" si="11"/>
        <v>9.1666666666666674E-2</v>
      </c>
    </row>
    <row r="36" spans="1:17" s="495" customFormat="1" ht="24.95" customHeight="1">
      <c r="A36" s="447" t="s">
        <v>1167</v>
      </c>
      <c r="B36" s="1038" t="s">
        <v>1168</v>
      </c>
      <c r="C36" s="554">
        <v>49.47</v>
      </c>
      <c r="D36" s="554">
        <v>71.5</v>
      </c>
      <c r="E36" s="554">
        <f>18812735/1000000</f>
        <v>18.812735</v>
      </c>
      <c r="F36" s="554">
        <v>42</v>
      </c>
      <c r="G36" s="554">
        <f>+F36+E36</f>
        <v>60.812735000000004</v>
      </c>
      <c r="H36" s="554">
        <f t="shared" si="10"/>
        <v>5.0677279166666667</v>
      </c>
      <c r="I36" s="554">
        <v>61.893999999999998</v>
      </c>
      <c r="J36" s="554">
        <f t="shared" si="11"/>
        <v>5.1578333333333335</v>
      </c>
      <c r="O36" s="834">
        <f t="shared" ref="O36:O39" si="21">SUM(I36/4)</f>
        <v>15.4735</v>
      </c>
      <c r="Q36" s="960">
        <f>+E36+F36-G36</f>
        <v>0</v>
      </c>
    </row>
    <row r="37" spans="1:17" s="495" customFormat="1" ht="24.95" customHeight="1">
      <c r="A37" s="1039" t="s">
        <v>263</v>
      </c>
      <c r="B37" s="1037" t="s">
        <v>742</v>
      </c>
      <c r="C37" s="554">
        <v>148.74600000000001</v>
      </c>
      <c r="D37" s="554">
        <v>132</v>
      </c>
      <c r="E37" s="554">
        <v>90.7</v>
      </c>
      <c r="F37" s="554">
        <v>50</v>
      </c>
      <c r="G37" s="554">
        <f>+F37+E37</f>
        <v>140.69999999999999</v>
      </c>
      <c r="H37" s="554">
        <f t="shared" si="10"/>
        <v>11.725</v>
      </c>
      <c r="I37" s="554">
        <f t="shared" ref="I37:I39" si="22">G37*1.1</f>
        <v>154.77000000000001</v>
      </c>
      <c r="J37" s="554">
        <f t="shared" si="11"/>
        <v>12.897500000000001</v>
      </c>
      <c r="O37" s="834">
        <f t="shared" si="21"/>
        <v>38.692500000000003</v>
      </c>
      <c r="Q37" s="960">
        <f>+E37+F37-G37</f>
        <v>0</v>
      </c>
    </row>
    <row r="38" spans="1:17" s="495" customFormat="1" ht="24.95" customHeight="1">
      <c r="A38" s="1039" t="s">
        <v>270</v>
      </c>
      <c r="B38" s="1037" t="s">
        <v>737</v>
      </c>
      <c r="C38" s="554">
        <v>40.811999999999998</v>
      </c>
      <c r="D38" s="554">
        <v>27.5</v>
      </c>
      <c r="E38" s="554">
        <v>5.0149999999999997</v>
      </c>
      <c r="F38" s="554">
        <f>15-E38</f>
        <v>9.9849999999999994</v>
      </c>
      <c r="G38" s="554">
        <f>+F38+E38</f>
        <v>15</v>
      </c>
      <c r="H38" s="554">
        <f t="shared" si="10"/>
        <v>1.25</v>
      </c>
      <c r="I38" s="554">
        <f t="shared" si="22"/>
        <v>16.5</v>
      </c>
      <c r="J38" s="554">
        <f t="shared" si="11"/>
        <v>1.375</v>
      </c>
      <c r="O38" s="834">
        <f t="shared" si="21"/>
        <v>4.125</v>
      </c>
      <c r="Q38" s="960">
        <f>+E38+F38-G38</f>
        <v>0</v>
      </c>
    </row>
    <row r="39" spans="1:17" s="495" customFormat="1" ht="24.95" customHeight="1">
      <c r="A39" s="1037" t="s">
        <v>181</v>
      </c>
      <c r="B39" s="1037" t="s">
        <v>731</v>
      </c>
      <c r="C39" s="554">
        <v>3.766</v>
      </c>
      <c r="D39" s="554">
        <v>10</v>
      </c>
      <c r="E39" s="554">
        <v>1.272</v>
      </c>
      <c r="F39" s="554">
        <f>5-E39</f>
        <v>3.7279999999999998</v>
      </c>
      <c r="G39" s="554">
        <f>+F39+E39</f>
        <v>5</v>
      </c>
      <c r="H39" s="554">
        <f t="shared" si="10"/>
        <v>0.41666666666666669</v>
      </c>
      <c r="I39" s="554">
        <f t="shared" si="22"/>
        <v>5.5</v>
      </c>
      <c r="J39" s="554">
        <f t="shared" si="11"/>
        <v>0.45833333333333331</v>
      </c>
      <c r="O39" s="834">
        <f t="shared" si="21"/>
        <v>1.375</v>
      </c>
      <c r="Q39" s="960">
        <f>+E39+F39-G39</f>
        <v>0</v>
      </c>
    </row>
    <row r="40" spans="1:17" s="495" customFormat="1" ht="24.95" customHeight="1">
      <c r="A40" s="1037" t="s">
        <v>281</v>
      </c>
      <c r="B40" s="1037" t="s">
        <v>712</v>
      </c>
      <c r="C40" s="554">
        <v>1.91</v>
      </c>
      <c r="D40" s="554">
        <v>4.3449999999999998</v>
      </c>
      <c r="E40" s="554">
        <v>0.66500000000000004</v>
      </c>
      <c r="F40" s="554">
        <v>3.6799999999999997</v>
      </c>
      <c r="G40" s="554">
        <v>4.3449999999999998</v>
      </c>
      <c r="H40" s="554">
        <f t="shared" si="10"/>
        <v>0.36208333333333331</v>
      </c>
      <c r="I40" s="554">
        <v>4.8450000000000006</v>
      </c>
      <c r="J40" s="554">
        <f t="shared" si="11"/>
        <v>0.40375000000000005</v>
      </c>
      <c r="O40" s="834">
        <v>1.2112500000000002</v>
      </c>
      <c r="Q40" s="960">
        <v>0</v>
      </c>
    </row>
    <row r="41" spans="1:17" ht="24.95" customHeight="1">
      <c r="A41" s="1034"/>
      <c r="B41" s="1041" t="s">
        <v>138</v>
      </c>
      <c r="C41" s="1040">
        <f>SUM(C30:C40)</f>
        <v>351.98900000000003</v>
      </c>
      <c r="D41" s="1040">
        <f t="shared" ref="D41:J41" si="23">SUM(D30:D40)</f>
        <v>359.84500000000003</v>
      </c>
      <c r="E41" s="1040">
        <f t="shared" si="23"/>
        <v>163.89273499999999</v>
      </c>
      <c r="F41" s="1040">
        <f t="shared" si="23"/>
        <v>172.46500000000003</v>
      </c>
      <c r="G41" s="1040">
        <f t="shared" si="23"/>
        <v>327.85773500000005</v>
      </c>
      <c r="H41" s="1040">
        <f t="shared" si="23"/>
        <v>27.321477916666666</v>
      </c>
      <c r="I41" s="1040">
        <f t="shared" si="23"/>
        <v>348.70900000000006</v>
      </c>
      <c r="J41" s="1040">
        <f t="shared" si="23"/>
        <v>29.059083333333334</v>
      </c>
    </row>
    <row r="42" spans="1:17" ht="24.95" customHeight="1">
      <c r="A42" s="1034"/>
      <c r="B42" s="1041" t="s">
        <v>1503</v>
      </c>
      <c r="C42" s="1042">
        <f t="shared" ref="C42:J42" si="24">SUM(C18+C24+C41)</f>
        <v>629.09100000000001</v>
      </c>
      <c r="D42" s="1042">
        <f t="shared" si="24"/>
        <v>657.37200000000007</v>
      </c>
      <c r="E42" s="1042">
        <f t="shared" si="24"/>
        <v>313.56473499999998</v>
      </c>
      <c r="F42" s="1042">
        <f t="shared" si="24"/>
        <v>360.70820800000001</v>
      </c>
      <c r="G42" s="1042">
        <f t="shared" si="24"/>
        <v>665.77294300000005</v>
      </c>
      <c r="H42" s="1042">
        <f t="shared" si="24"/>
        <v>55.481078583333336</v>
      </c>
      <c r="I42" s="1042">
        <f t="shared" si="24"/>
        <v>667.52020800000003</v>
      </c>
      <c r="J42" s="1042">
        <f t="shared" si="24"/>
        <v>55.626683999999997</v>
      </c>
    </row>
  </sheetData>
  <mergeCells count="13">
    <mergeCell ref="A1:I1"/>
    <mergeCell ref="A3:I3"/>
    <mergeCell ref="A6:A7"/>
    <mergeCell ref="B6:B7"/>
    <mergeCell ref="C6:C7"/>
    <mergeCell ref="D6:G6"/>
    <mergeCell ref="I6:I7"/>
    <mergeCell ref="A4:J4"/>
    <mergeCell ref="A9:J9"/>
    <mergeCell ref="A25:J25"/>
    <mergeCell ref="A19:J19"/>
    <mergeCell ref="H6:H7"/>
    <mergeCell ref="J6:J7"/>
  </mergeCells>
  <pageMargins left="0.54" right="0.36" top="0.5" bottom="0.42" header="0.3" footer="0.3"/>
  <pageSetup scale="80" orientation="portrait" r:id="rId1"/>
  <headerFooter>
    <oddFooter>&amp;RPage No.&amp;P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M70" sqref="M70:M72"/>
    </sheetView>
  </sheetViews>
  <sheetFormatPr defaultRowHeight="30" customHeight="1"/>
  <cols>
    <col min="2" max="2" width="32.28515625" customWidth="1"/>
    <col min="3" max="3" width="12.85546875" customWidth="1"/>
    <col min="4" max="4" width="9.85546875" bestFit="1" customWidth="1"/>
    <col min="6" max="6" width="11.28515625" customWidth="1"/>
    <col min="7" max="7" width="12" customWidth="1"/>
    <col min="8" max="8" width="10.7109375" customWidth="1"/>
    <col min="9" max="9" width="10.85546875" customWidth="1"/>
    <col min="10" max="10" width="13.140625" customWidth="1"/>
    <col min="11" max="11" width="12.28515625" customWidth="1"/>
    <col min="12" max="12" width="11.28515625" style="562" bestFit="1" customWidth="1"/>
  </cols>
  <sheetData>
    <row r="1" spans="1:14" ht="30" customHeight="1">
      <c r="A1" s="1320" t="s">
        <v>1429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</row>
    <row r="2" spans="1:14" ht="30" customHeight="1">
      <c r="A2" s="889"/>
      <c r="B2" s="889"/>
      <c r="C2" s="890"/>
      <c r="D2" s="889"/>
      <c r="E2" s="889"/>
      <c r="F2" s="889"/>
      <c r="G2" s="889"/>
      <c r="H2" s="889"/>
      <c r="I2" s="889"/>
      <c r="J2" s="1321" t="s">
        <v>1430</v>
      </c>
      <c r="K2" s="1321"/>
    </row>
    <row r="3" spans="1:14" ht="36" customHeight="1">
      <c r="A3" s="891" t="s">
        <v>1431</v>
      </c>
      <c r="B3" s="891" t="s">
        <v>1432</v>
      </c>
      <c r="C3" s="891" t="s">
        <v>1433</v>
      </c>
      <c r="D3" s="892" t="s">
        <v>1479</v>
      </c>
      <c r="E3" s="892" t="s">
        <v>1434</v>
      </c>
      <c r="F3" s="892" t="s">
        <v>1435</v>
      </c>
      <c r="G3" s="892" t="s">
        <v>1436</v>
      </c>
      <c r="H3" s="892" t="s">
        <v>1437</v>
      </c>
      <c r="I3" s="892" t="s">
        <v>1438</v>
      </c>
      <c r="J3" s="892" t="s">
        <v>1439</v>
      </c>
      <c r="K3" s="892" t="s">
        <v>138</v>
      </c>
    </row>
    <row r="4" spans="1:14" ht="30" customHeight="1">
      <c r="A4" s="893" t="s">
        <v>1440</v>
      </c>
      <c r="B4" s="1322" t="s">
        <v>1441</v>
      </c>
      <c r="C4" s="1322"/>
      <c r="D4" s="1322"/>
      <c r="E4" s="1322"/>
      <c r="F4" s="1322"/>
      <c r="G4" s="1322"/>
      <c r="H4" s="1322"/>
      <c r="I4" s="1322"/>
      <c r="J4" s="1322"/>
      <c r="K4" s="1323"/>
    </row>
    <row r="5" spans="1:14" ht="30" customHeight="1">
      <c r="A5" s="894">
        <v>1</v>
      </c>
      <c r="B5" s="895" t="s">
        <v>344</v>
      </c>
      <c r="C5" s="896"/>
      <c r="D5" s="897">
        <v>0.1</v>
      </c>
      <c r="E5" s="897">
        <v>0.05</v>
      </c>
      <c r="F5" s="897"/>
      <c r="G5" s="897">
        <v>0.1</v>
      </c>
      <c r="H5" s="897">
        <v>0.03</v>
      </c>
      <c r="I5" s="897">
        <v>0.1</v>
      </c>
      <c r="J5" s="897">
        <v>0.1</v>
      </c>
      <c r="K5" s="1135">
        <v>0.48</v>
      </c>
    </row>
    <row r="6" spans="1:14" ht="30" customHeight="1">
      <c r="A6" s="898">
        <v>2</v>
      </c>
      <c r="B6" s="899" t="s">
        <v>1442</v>
      </c>
      <c r="C6" s="896">
        <v>0.05</v>
      </c>
      <c r="D6" s="900">
        <v>0.03</v>
      </c>
      <c r="E6" s="900">
        <v>0.05</v>
      </c>
      <c r="F6" s="900">
        <v>0.1</v>
      </c>
      <c r="G6" s="900">
        <v>0.1</v>
      </c>
      <c r="H6" s="900">
        <v>2.5000000000000001E-2</v>
      </c>
      <c r="I6" s="900">
        <v>0.03</v>
      </c>
      <c r="J6" s="900">
        <v>0.1</v>
      </c>
      <c r="K6" s="1135">
        <v>0.48499999999999999</v>
      </c>
    </row>
    <row r="7" spans="1:14" ht="30" customHeight="1">
      <c r="A7" s="898">
        <v>3</v>
      </c>
      <c r="B7" s="899" t="s">
        <v>1443</v>
      </c>
      <c r="C7" s="896">
        <v>0.15</v>
      </c>
      <c r="D7" s="555">
        <v>0.13</v>
      </c>
      <c r="E7" s="555">
        <v>0.09</v>
      </c>
      <c r="F7" s="900"/>
      <c r="G7" s="900">
        <v>0.15</v>
      </c>
      <c r="H7" s="900">
        <v>0.06</v>
      </c>
      <c r="I7" s="900">
        <v>0.12</v>
      </c>
      <c r="J7" s="900">
        <v>0.2</v>
      </c>
      <c r="K7" s="1135">
        <v>0.90000000000000013</v>
      </c>
      <c r="L7" s="562">
        <v>0</v>
      </c>
    </row>
    <row r="8" spans="1:14" ht="30" customHeight="1">
      <c r="A8" s="898">
        <v>4</v>
      </c>
      <c r="B8" s="899" t="s">
        <v>384</v>
      </c>
      <c r="C8" s="901"/>
      <c r="D8" s="902">
        <v>0.05</v>
      </c>
      <c r="E8" s="902">
        <v>7.4999999999999997E-2</v>
      </c>
      <c r="F8" s="903"/>
      <c r="G8" s="902">
        <v>7.4999999999999997E-2</v>
      </c>
      <c r="H8" s="903">
        <v>0.05</v>
      </c>
      <c r="I8" s="903">
        <v>0.05</v>
      </c>
      <c r="J8" s="903">
        <v>0.1</v>
      </c>
      <c r="K8" s="1135">
        <v>0.4</v>
      </c>
    </row>
    <row r="9" spans="1:14" ht="30" customHeight="1">
      <c r="A9" s="898">
        <v>5</v>
      </c>
      <c r="B9" s="904" t="s">
        <v>1444</v>
      </c>
      <c r="C9" s="901"/>
      <c r="D9" s="905">
        <v>0.05</v>
      </c>
      <c r="E9" s="905">
        <v>0.05</v>
      </c>
      <c r="F9" s="906"/>
      <c r="G9" s="906"/>
      <c r="H9" s="905">
        <v>0.05</v>
      </c>
      <c r="I9" s="906">
        <v>0.03</v>
      </c>
      <c r="J9" s="906">
        <v>0.1</v>
      </c>
      <c r="K9" s="1135">
        <v>0.28000000000000003</v>
      </c>
    </row>
    <row r="10" spans="1:14" ht="30" customHeight="1">
      <c r="A10" s="898">
        <v>6</v>
      </c>
      <c r="B10" s="904" t="s">
        <v>411</v>
      </c>
      <c r="C10" s="907"/>
      <c r="D10" s="908">
        <v>0.03</v>
      </c>
      <c r="E10" s="908">
        <v>0.05</v>
      </c>
      <c r="F10" s="908"/>
      <c r="G10" s="908">
        <v>2.5000000000000001E-2</v>
      </c>
      <c r="H10" s="908">
        <v>2.5000000000000001E-2</v>
      </c>
      <c r="I10" s="908">
        <v>0.03</v>
      </c>
      <c r="J10" s="908">
        <v>0.1</v>
      </c>
      <c r="K10" s="1135">
        <v>0.26</v>
      </c>
      <c r="N10" s="561"/>
    </row>
    <row r="11" spans="1:14" ht="30" customHeight="1">
      <c r="A11" s="909" t="s">
        <v>1445</v>
      </c>
      <c r="B11" s="1324" t="s">
        <v>1446</v>
      </c>
      <c r="C11" s="1325"/>
      <c r="D11" s="1325"/>
      <c r="E11" s="1325"/>
      <c r="F11" s="1325"/>
      <c r="G11" s="1325"/>
      <c r="H11" s="1325"/>
      <c r="I11" s="1325"/>
      <c r="J11" s="1325"/>
      <c r="K11" s="1326"/>
    </row>
    <row r="12" spans="1:14" ht="30" customHeight="1">
      <c r="A12" s="909">
        <v>1</v>
      </c>
      <c r="B12" s="910" t="s">
        <v>457</v>
      </c>
      <c r="C12" s="901"/>
      <c r="D12" s="911">
        <v>0.04</v>
      </c>
      <c r="E12" s="911">
        <v>0.05</v>
      </c>
      <c r="F12" s="912"/>
      <c r="G12" s="912">
        <v>1.4999999999999999E-2</v>
      </c>
      <c r="H12" s="911">
        <v>2.5000000000000001E-2</v>
      </c>
      <c r="I12" s="911">
        <v>0.1</v>
      </c>
      <c r="J12" s="912">
        <v>0.05</v>
      </c>
      <c r="K12" s="1135">
        <v>0.28000000000000003</v>
      </c>
    </row>
    <row r="13" spans="1:14" ht="30" customHeight="1">
      <c r="A13" s="898">
        <v>2</v>
      </c>
      <c r="B13" s="899" t="s">
        <v>1146</v>
      </c>
      <c r="C13" s="901"/>
      <c r="D13" s="911">
        <v>0.03</v>
      </c>
      <c r="E13" s="911">
        <v>0.05</v>
      </c>
      <c r="F13" s="912"/>
      <c r="G13" s="912">
        <v>0.05</v>
      </c>
      <c r="H13" s="911">
        <v>2.5000000000000001E-2</v>
      </c>
      <c r="I13" s="911">
        <v>0.05</v>
      </c>
      <c r="J13" s="912">
        <v>0.06</v>
      </c>
      <c r="K13" s="1135">
        <v>0.26500000000000001</v>
      </c>
    </row>
    <row r="14" spans="1:14" ht="30" customHeight="1">
      <c r="A14" s="898">
        <v>3</v>
      </c>
      <c r="B14" s="899" t="s">
        <v>511</v>
      </c>
      <c r="C14" s="907">
        <v>0.05</v>
      </c>
      <c r="D14" s="902">
        <v>0.02</v>
      </c>
      <c r="E14" s="902">
        <v>0.05</v>
      </c>
      <c r="F14" s="902"/>
      <c r="G14" s="902"/>
      <c r="H14" s="902">
        <v>2.5000000000000001E-2</v>
      </c>
      <c r="I14" s="902">
        <v>0.05</v>
      </c>
      <c r="J14" s="902">
        <v>0.1</v>
      </c>
      <c r="K14" s="1135">
        <v>0.29500000000000004</v>
      </c>
    </row>
    <row r="15" spans="1:14" ht="30" customHeight="1">
      <c r="A15" s="898">
        <v>4</v>
      </c>
      <c r="B15" s="899" t="s">
        <v>1148</v>
      </c>
      <c r="C15" s="907">
        <v>0.05</v>
      </c>
      <c r="D15" s="902">
        <v>0.02</v>
      </c>
      <c r="E15" s="902">
        <v>0.2</v>
      </c>
      <c r="F15" s="903"/>
      <c r="G15" s="903">
        <v>0.04</v>
      </c>
      <c r="H15" s="902">
        <v>0.02</v>
      </c>
      <c r="I15" s="902">
        <v>0.02</v>
      </c>
      <c r="J15" s="903">
        <v>0.05</v>
      </c>
      <c r="K15" s="1135">
        <v>0.4</v>
      </c>
    </row>
    <row r="16" spans="1:14" ht="30" customHeight="1">
      <c r="A16" s="898">
        <v>5</v>
      </c>
      <c r="B16" s="899" t="s">
        <v>513</v>
      </c>
      <c r="C16" s="901"/>
      <c r="D16" s="902">
        <v>0.02</v>
      </c>
      <c r="E16" s="902">
        <v>0.03</v>
      </c>
      <c r="F16" s="903"/>
      <c r="G16" s="903">
        <v>0.03</v>
      </c>
      <c r="H16" s="902">
        <v>0.03</v>
      </c>
      <c r="I16" s="902">
        <v>0.02</v>
      </c>
      <c r="J16" s="902">
        <v>0.05</v>
      </c>
      <c r="K16" s="1135">
        <v>0.18</v>
      </c>
    </row>
    <row r="17" spans="1:14" ht="30" customHeight="1">
      <c r="A17" s="898">
        <v>6</v>
      </c>
      <c r="B17" s="899" t="s">
        <v>427</v>
      </c>
      <c r="C17" s="907"/>
      <c r="D17" s="903">
        <v>0.03</v>
      </c>
      <c r="E17" s="902">
        <v>0.02</v>
      </c>
      <c r="F17" s="903"/>
      <c r="G17" s="903">
        <v>0.05</v>
      </c>
      <c r="H17" s="903">
        <v>1.4999999999999999E-2</v>
      </c>
      <c r="I17" s="903">
        <v>0.03</v>
      </c>
      <c r="J17" s="903">
        <v>0.05</v>
      </c>
      <c r="K17" s="1135">
        <v>0.19500000000000001</v>
      </c>
      <c r="L17" s="562">
        <v>-7.5000000000000011E-2</v>
      </c>
    </row>
    <row r="18" spans="1:14" ht="30" customHeight="1">
      <c r="A18" s="898">
        <v>7</v>
      </c>
      <c r="B18" s="913" t="s">
        <v>1149</v>
      </c>
      <c r="C18" s="901">
        <v>0.06</v>
      </c>
      <c r="D18" s="903">
        <v>0.06</v>
      </c>
      <c r="E18" s="902">
        <v>0.05</v>
      </c>
      <c r="F18" s="903"/>
      <c r="G18" s="903">
        <v>1.4999999999999999E-2</v>
      </c>
      <c r="H18" s="902">
        <v>0.03</v>
      </c>
      <c r="I18" s="902">
        <v>0.05</v>
      </c>
      <c r="J18" s="903">
        <v>0.13500000000000001</v>
      </c>
      <c r="K18" s="1135">
        <v>0.4</v>
      </c>
      <c r="L18" s="562">
        <v>0</v>
      </c>
      <c r="M18">
        <v>2.0019999999999998</v>
      </c>
      <c r="N18" s="561">
        <v>-2.0019999999999998</v>
      </c>
    </row>
    <row r="19" spans="1:14" ht="30" customHeight="1">
      <c r="A19" s="909" t="s">
        <v>1447</v>
      </c>
      <c r="B19" s="1324" t="s">
        <v>1448</v>
      </c>
      <c r="C19" s="1325"/>
      <c r="D19" s="1325"/>
      <c r="E19" s="1325"/>
      <c r="F19" s="1325"/>
      <c r="G19" s="1325"/>
      <c r="H19" s="1325"/>
      <c r="I19" s="1325"/>
      <c r="J19" s="1325"/>
      <c r="K19" s="1326"/>
    </row>
    <row r="20" spans="1:14" ht="30" customHeight="1">
      <c r="A20" s="898">
        <v>1</v>
      </c>
      <c r="B20" s="895" t="s">
        <v>536</v>
      </c>
      <c r="C20" s="907"/>
      <c r="D20" s="911">
        <v>0.1</v>
      </c>
      <c r="E20" s="911">
        <v>0.03</v>
      </c>
      <c r="F20" s="911">
        <v>1</v>
      </c>
      <c r="G20" s="911">
        <v>0.1</v>
      </c>
      <c r="H20" s="911">
        <v>0.03</v>
      </c>
      <c r="I20" s="911">
        <v>0.08</v>
      </c>
      <c r="J20" s="912">
        <v>0.15</v>
      </c>
      <c r="K20" s="1135">
        <v>1.49</v>
      </c>
    </row>
    <row r="21" spans="1:14" ht="30" customHeight="1">
      <c r="A21" s="898">
        <v>2</v>
      </c>
      <c r="B21" s="899" t="s">
        <v>1449</v>
      </c>
      <c r="C21" s="907">
        <v>0.1</v>
      </c>
      <c r="D21" s="902">
        <v>0.1</v>
      </c>
      <c r="E21" s="902">
        <v>0.05</v>
      </c>
      <c r="F21" s="902">
        <v>3</v>
      </c>
      <c r="G21" s="902">
        <v>0.2</v>
      </c>
      <c r="H21" s="902">
        <v>0.03</v>
      </c>
      <c r="I21" s="902">
        <v>1</v>
      </c>
      <c r="J21" s="902">
        <v>0.2</v>
      </c>
      <c r="K21" s="1135">
        <v>4.6800000000000006</v>
      </c>
    </row>
    <row r="22" spans="1:14" ht="30" customHeight="1">
      <c r="A22" s="898">
        <v>3</v>
      </c>
      <c r="B22" s="899" t="s">
        <v>1450</v>
      </c>
      <c r="C22" s="907"/>
      <c r="D22" s="902">
        <v>0.1</v>
      </c>
      <c r="E22" s="902">
        <v>0.1</v>
      </c>
      <c r="F22" s="902">
        <v>0.1</v>
      </c>
      <c r="G22" s="902">
        <v>0.17</v>
      </c>
      <c r="H22" s="902">
        <v>0.03</v>
      </c>
      <c r="I22" s="902">
        <v>0.15</v>
      </c>
      <c r="J22" s="902">
        <v>0.2</v>
      </c>
      <c r="K22" s="1135">
        <v>0.85000000000000009</v>
      </c>
    </row>
    <row r="23" spans="1:14" ht="30" customHeight="1">
      <c r="A23" s="898">
        <v>4</v>
      </c>
      <c r="B23" s="899" t="s">
        <v>1451</v>
      </c>
      <c r="C23" s="907"/>
      <c r="D23" s="902">
        <v>0.03</v>
      </c>
      <c r="E23" s="902">
        <v>0.05</v>
      </c>
      <c r="F23" s="902">
        <v>0.3</v>
      </c>
      <c r="G23" s="902">
        <v>0.05</v>
      </c>
      <c r="H23" s="902">
        <v>2.5000000000000001E-2</v>
      </c>
      <c r="I23" s="902">
        <v>0.05</v>
      </c>
      <c r="J23" s="902">
        <v>0.1</v>
      </c>
      <c r="K23" s="1135">
        <v>0.60499999999999998</v>
      </c>
    </row>
    <row r="24" spans="1:14" ht="30" customHeight="1">
      <c r="A24" s="898">
        <v>5</v>
      </c>
      <c r="B24" s="899" t="s">
        <v>1452</v>
      </c>
      <c r="C24" s="907">
        <v>0.2</v>
      </c>
      <c r="D24" s="903">
        <v>0.08</v>
      </c>
      <c r="E24" s="902">
        <v>0.05</v>
      </c>
      <c r="F24" s="902">
        <v>0.8</v>
      </c>
      <c r="G24" s="903">
        <v>0.15</v>
      </c>
      <c r="H24" s="902">
        <v>0.03</v>
      </c>
      <c r="I24" s="902">
        <v>0.2</v>
      </c>
      <c r="J24" s="903">
        <v>0.25</v>
      </c>
      <c r="K24" s="1135">
        <v>1.76</v>
      </c>
    </row>
    <row r="25" spans="1:14" ht="30" customHeight="1">
      <c r="A25" s="898">
        <v>6</v>
      </c>
      <c r="B25" s="899" t="s">
        <v>482</v>
      </c>
      <c r="C25" s="907">
        <v>0.1</v>
      </c>
      <c r="D25" s="903">
        <v>0.1</v>
      </c>
      <c r="E25" s="902">
        <v>0.06</v>
      </c>
      <c r="F25" s="902">
        <v>0.15</v>
      </c>
      <c r="G25" s="903">
        <v>0.15</v>
      </c>
      <c r="H25" s="902">
        <v>0.03</v>
      </c>
      <c r="I25" s="902">
        <v>0.15</v>
      </c>
      <c r="J25" s="903">
        <v>0.2</v>
      </c>
      <c r="K25" s="1135">
        <v>0.94000000000000017</v>
      </c>
    </row>
    <row r="26" spans="1:14" ht="30" customHeight="1">
      <c r="A26" s="898">
        <v>7</v>
      </c>
      <c r="B26" s="899" t="s">
        <v>480</v>
      </c>
      <c r="C26" s="907"/>
      <c r="D26" s="902">
        <v>0.06</v>
      </c>
      <c r="E26" s="902">
        <v>0.05</v>
      </c>
      <c r="F26" s="902">
        <v>0.05</v>
      </c>
      <c r="G26" s="902">
        <v>0.05</v>
      </c>
      <c r="H26" s="902">
        <v>0.03</v>
      </c>
      <c r="I26" s="902">
        <v>0.06</v>
      </c>
      <c r="J26" s="902">
        <v>0.2</v>
      </c>
      <c r="K26" s="1135">
        <v>0.5</v>
      </c>
    </row>
    <row r="27" spans="1:14" ht="30" customHeight="1">
      <c r="A27" s="898">
        <v>8</v>
      </c>
      <c r="B27" s="899" t="s">
        <v>1453</v>
      </c>
      <c r="C27" s="907">
        <v>0.14000000000000001</v>
      </c>
      <c r="D27" s="902">
        <v>0.3</v>
      </c>
      <c r="E27" s="902">
        <v>0.05</v>
      </c>
      <c r="F27" s="902">
        <v>6</v>
      </c>
      <c r="G27" s="902">
        <v>0.3</v>
      </c>
      <c r="H27" s="902">
        <v>0.03</v>
      </c>
      <c r="I27" s="902">
        <v>0.3</v>
      </c>
      <c r="J27" s="902">
        <v>0.4</v>
      </c>
      <c r="K27" s="1135">
        <v>7.5200000000000005</v>
      </c>
    </row>
    <row r="28" spans="1:14" ht="30" customHeight="1">
      <c r="A28" s="898">
        <v>9</v>
      </c>
      <c r="B28" s="899" t="s">
        <v>548</v>
      </c>
      <c r="C28" s="907">
        <v>0.25</v>
      </c>
      <c r="D28" s="903">
        <v>0.2</v>
      </c>
      <c r="E28" s="902">
        <v>0.1</v>
      </c>
      <c r="F28" s="902">
        <v>4</v>
      </c>
      <c r="G28" s="902">
        <v>0.2</v>
      </c>
      <c r="H28" s="902">
        <v>0.03</v>
      </c>
      <c r="I28" s="902">
        <v>0.5</v>
      </c>
      <c r="J28" s="903">
        <v>0.4</v>
      </c>
      <c r="K28" s="1135">
        <v>5.6800000000000006</v>
      </c>
    </row>
    <row r="29" spans="1:14" ht="30" customHeight="1">
      <c r="A29" s="898">
        <v>10</v>
      </c>
      <c r="B29" s="899" t="s">
        <v>1156</v>
      </c>
      <c r="C29" s="907"/>
      <c r="D29" s="902">
        <v>0.05</v>
      </c>
      <c r="E29" s="902">
        <v>0.05</v>
      </c>
      <c r="F29" s="903">
        <v>0.1</v>
      </c>
      <c r="G29" s="903">
        <v>0.15</v>
      </c>
      <c r="H29" s="902">
        <v>0.03</v>
      </c>
      <c r="I29" s="902">
        <v>0.1</v>
      </c>
      <c r="J29" s="903">
        <v>0.1</v>
      </c>
      <c r="K29" s="1135">
        <v>0.57999999999999996</v>
      </c>
    </row>
    <row r="30" spans="1:14" ht="30" customHeight="1">
      <c r="A30" s="898">
        <v>11</v>
      </c>
      <c r="B30" s="904" t="s">
        <v>552</v>
      </c>
      <c r="C30" s="901">
        <v>0.1</v>
      </c>
      <c r="D30" s="908">
        <v>0.1</v>
      </c>
      <c r="E30" s="908">
        <v>0.05</v>
      </c>
      <c r="F30" s="908">
        <v>0.6</v>
      </c>
      <c r="G30" s="908">
        <v>0.26</v>
      </c>
      <c r="H30" s="914">
        <v>2.5000000000000001E-2</v>
      </c>
      <c r="I30" s="914">
        <v>0.6</v>
      </c>
      <c r="J30" s="914">
        <v>0.25</v>
      </c>
      <c r="K30" s="1135">
        <v>1.9849999999999999</v>
      </c>
      <c r="N30" s="561"/>
    </row>
    <row r="31" spans="1:14" ht="30" customHeight="1">
      <c r="A31" s="909" t="s">
        <v>1454</v>
      </c>
      <c r="B31" s="1317" t="s">
        <v>1455</v>
      </c>
      <c r="C31" s="1318"/>
      <c r="D31" s="1318"/>
      <c r="E31" s="1318"/>
      <c r="F31" s="1318"/>
      <c r="G31" s="1318"/>
      <c r="H31" s="1318"/>
      <c r="I31" s="1318"/>
      <c r="J31" s="1318"/>
      <c r="K31" s="1319"/>
    </row>
    <row r="32" spans="1:14" ht="30" customHeight="1">
      <c r="A32" s="898">
        <v>1</v>
      </c>
      <c r="B32" s="895" t="s">
        <v>1158</v>
      </c>
      <c r="C32" s="907">
        <v>0.5</v>
      </c>
      <c r="D32" s="912">
        <v>0.2</v>
      </c>
      <c r="E32" s="911">
        <v>0.1</v>
      </c>
      <c r="F32" s="912">
        <v>0.41099999999999998</v>
      </c>
      <c r="G32" s="912">
        <v>0.2</v>
      </c>
      <c r="H32" s="911">
        <v>0.06</v>
      </c>
      <c r="I32" s="911">
        <v>0.3</v>
      </c>
      <c r="J32" s="912">
        <v>0.3</v>
      </c>
      <c r="K32" s="1135">
        <v>2.0709999999999997</v>
      </c>
      <c r="L32" s="562">
        <v>0.12900000000000045</v>
      </c>
    </row>
    <row r="33" spans="1:12" ht="30" customHeight="1">
      <c r="A33" s="898">
        <v>2</v>
      </c>
      <c r="B33" s="899" t="s">
        <v>1456</v>
      </c>
      <c r="C33" s="907">
        <v>0.3</v>
      </c>
      <c r="D33" s="902">
        <v>0.2</v>
      </c>
      <c r="E33" s="902">
        <v>0.1</v>
      </c>
      <c r="F33" s="903"/>
      <c r="G33" s="903">
        <v>0.2</v>
      </c>
      <c r="H33" s="902">
        <v>0.05</v>
      </c>
      <c r="I33" s="902">
        <v>0.2</v>
      </c>
      <c r="J33" s="903">
        <v>0.4</v>
      </c>
      <c r="K33" s="1135">
        <v>1.4500000000000002</v>
      </c>
      <c r="L33" s="562">
        <v>0.54999999999999982</v>
      </c>
    </row>
    <row r="34" spans="1:12" ht="30" customHeight="1">
      <c r="A34" s="898">
        <v>3</v>
      </c>
      <c r="B34" s="899" t="s">
        <v>1457</v>
      </c>
      <c r="C34" s="907">
        <v>0.05</v>
      </c>
      <c r="D34" s="902"/>
      <c r="E34" s="902">
        <v>0.02</v>
      </c>
      <c r="F34" s="903"/>
      <c r="G34" s="903">
        <v>0.08</v>
      </c>
      <c r="H34" s="902">
        <v>0.03</v>
      </c>
      <c r="I34" s="902">
        <v>0.05</v>
      </c>
      <c r="J34" s="903">
        <v>0.1</v>
      </c>
      <c r="K34" s="1135">
        <v>0.33000000000000007</v>
      </c>
    </row>
    <row r="35" spans="1:12" ht="30" customHeight="1">
      <c r="A35" s="898">
        <v>4</v>
      </c>
      <c r="B35" s="899" t="s">
        <v>407</v>
      </c>
      <c r="C35" s="907"/>
      <c r="D35" s="902">
        <v>0.03</v>
      </c>
      <c r="E35" s="902">
        <v>0.02</v>
      </c>
      <c r="F35" s="903"/>
      <c r="G35" s="903">
        <v>0.1</v>
      </c>
      <c r="H35" s="903">
        <v>2.5000000000000001E-2</v>
      </c>
      <c r="I35" s="903">
        <v>0.1</v>
      </c>
      <c r="J35" s="903">
        <v>0.1</v>
      </c>
      <c r="K35" s="1135">
        <v>0.375</v>
      </c>
    </row>
    <row r="36" spans="1:12" ht="30" customHeight="1">
      <c r="A36" s="909">
        <v>5</v>
      </c>
      <c r="B36" s="913" t="s">
        <v>1162</v>
      </c>
      <c r="C36" s="907">
        <v>0.2</v>
      </c>
      <c r="D36" s="902">
        <v>0.05</v>
      </c>
      <c r="E36" s="902">
        <v>0.04</v>
      </c>
      <c r="F36" s="903"/>
      <c r="G36" s="903">
        <v>7.0000000000000007E-2</v>
      </c>
      <c r="H36" s="902">
        <v>0.03</v>
      </c>
      <c r="I36" s="902">
        <v>0.1</v>
      </c>
      <c r="J36" s="903">
        <v>0.13</v>
      </c>
      <c r="K36" s="1135">
        <v>0.62</v>
      </c>
    </row>
    <row r="37" spans="1:12" ht="30" customHeight="1">
      <c r="A37" s="909" t="s">
        <v>1458</v>
      </c>
      <c r="B37" s="915" t="s">
        <v>1459</v>
      </c>
      <c r="C37" s="916"/>
      <c r="D37" s="916"/>
      <c r="E37" s="916"/>
      <c r="F37" s="916"/>
      <c r="G37" s="916"/>
      <c r="H37" s="916"/>
      <c r="I37" s="916"/>
      <c r="J37" s="916"/>
      <c r="K37" s="900">
        <v>0</v>
      </c>
    </row>
    <row r="38" spans="1:12" ht="30" customHeight="1">
      <c r="A38" s="898">
        <v>1</v>
      </c>
      <c r="B38" s="895" t="s">
        <v>537</v>
      </c>
      <c r="C38" s="907">
        <v>0.3</v>
      </c>
      <c r="D38" s="911">
        <v>0.3</v>
      </c>
      <c r="E38" s="911">
        <v>0.15</v>
      </c>
      <c r="F38" s="911"/>
      <c r="G38" s="911">
        <v>0.3</v>
      </c>
      <c r="H38" s="911">
        <v>0.15</v>
      </c>
      <c r="I38" s="911">
        <v>0.3</v>
      </c>
      <c r="J38" s="911">
        <v>0.3</v>
      </c>
      <c r="K38" s="1135">
        <v>1.8</v>
      </c>
    </row>
    <row r="39" spans="1:12" ht="30" customHeight="1">
      <c r="A39" s="898">
        <v>2</v>
      </c>
      <c r="B39" s="899" t="s">
        <v>470</v>
      </c>
      <c r="C39" s="907"/>
      <c r="D39" s="902">
        <v>0.1</v>
      </c>
      <c r="E39" s="902">
        <v>0.05</v>
      </c>
      <c r="F39" s="902"/>
      <c r="G39" s="902">
        <v>0.15</v>
      </c>
      <c r="H39" s="902">
        <v>0.03</v>
      </c>
      <c r="I39" s="902">
        <v>0.2</v>
      </c>
      <c r="J39" s="902">
        <v>0.15</v>
      </c>
      <c r="K39" s="1135">
        <v>0.68</v>
      </c>
    </row>
    <row r="40" spans="1:12" ht="30" customHeight="1">
      <c r="A40" s="898">
        <v>3</v>
      </c>
      <c r="B40" s="899" t="s">
        <v>490</v>
      </c>
      <c r="C40" s="907"/>
      <c r="D40" s="902">
        <v>0.1</v>
      </c>
      <c r="E40" s="902">
        <v>0.02</v>
      </c>
      <c r="F40" s="902"/>
      <c r="G40" s="902">
        <v>2.5000000000000001E-2</v>
      </c>
      <c r="H40" s="902">
        <v>1.4999999999999999E-2</v>
      </c>
      <c r="I40" s="902">
        <v>0.05</v>
      </c>
      <c r="J40" s="902">
        <v>0.1</v>
      </c>
      <c r="K40" s="1135">
        <v>0.31000000000000005</v>
      </c>
    </row>
    <row r="41" spans="1:12" ht="30" customHeight="1">
      <c r="A41" s="917">
        <v>4</v>
      </c>
      <c r="B41" s="899" t="s">
        <v>504</v>
      </c>
      <c r="C41" s="907">
        <v>0.1</v>
      </c>
      <c r="D41" s="902">
        <v>0.06</v>
      </c>
      <c r="E41" s="902">
        <v>0.05</v>
      </c>
      <c r="F41" s="902">
        <v>0.5</v>
      </c>
      <c r="G41" s="902">
        <v>0.15</v>
      </c>
      <c r="H41" s="902">
        <v>2.5000000000000001E-2</v>
      </c>
      <c r="I41" s="902">
        <v>0.1</v>
      </c>
      <c r="J41" s="902">
        <v>0.15</v>
      </c>
      <c r="K41" s="1135">
        <v>1.135</v>
      </c>
    </row>
    <row r="42" spans="1:12" ht="30" customHeight="1">
      <c r="A42" s="909">
        <v>5</v>
      </c>
      <c r="B42" s="904" t="s">
        <v>516</v>
      </c>
      <c r="C42" s="907">
        <v>7.4999999999999997E-2</v>
      </c>
      <c r="D42" s="908">
        <v>0.06</v>
      </c>
      <c r="E42" s="908">
        <v>0.03</v>
      </c>
      <c r="F42" s="908"/>
      <c r="G42" s="908">
        <v>0.15</v>
      </c>
      <c r="H42" s="908">
        <v>2.5000000000000001E-2</v>
      </c>
      <c r="I42" s="908">
        <v>0.05</v>
      </c>
      <c r="J42" s="908">
        <v>0.1</v>
      </c>
      <c r="K42" s="1135">
        <v>0.49</v>
      </c>
    </row>
    <row r="43" spans="1:12" ht="30" customHeight="1">
      <c r="A43" s="909" t="s">
        <v>1460</v>
      </c>
      <c r="B43" s="915" t="s">
        <v>1461</v>
      </c>
      <c r="C43" s="916"/>
      <c r="D43" s="916"/>
      <c r="E43" s="916"/>
      <c r="F43" s="916"/>
      <c r="G43" s="916"/>
      <c r="H43" s="916"/>
      <c r="I43" s="916"/>
      <c r="J43" s="916"/>
      <c r="K43" s="900">
        <v>0</v>
      </c>
    </row>
    <row r="44" spans="1:12" ht="30" customHeight="1">
      <c r="A44" s="898">
        <v>1</v>
      </c>
      <c r="B44" s="918" t="s">
        <v>356</v>
      </c>
      <c r="C44" s="919"/>
      <c r="D44" s="919">
        <v>0.1</v>
      </c>
      <c r="E44" s="919">
        <v>0.08</v>
      </c>
      <c r="F44" s="919"/>
      <c r="G44" s="919"/>
      <c r="H44" s="919">
        <v>0.05</v>
      </c>
      <c r="I44" s="919">
        <v>0.05</v>
      </c>
      <c r="J44" s="919">
        <v>0.1</v>
      </c>
      <c r="K44" s="1135">
        <v>0.38</v>
      </c>
    </row>
    <row r="45" spans="1:12" ht="30" customHeight="1">
      <c r="A45" s="898">
        <v>2</v>
      </c>
      <c r="B45" s="1113" t="s">
        <v>364</v>
      </c>
      <c r="C45" s="1114">
        <v>0.1</v>
      </c>
      <c r="D45" s="911">
        <v>0.18</v>
      </c>
      <c r="E45" s="911">
        <v>0.05</v>
      </c>
      <c r="F45" s="912"/>
      <c r="G45" s="911">
        <v>0.15</v>
      </c>
      <c r="H45" s="911">
        <v>0.03</v>
      </c>
      <c r="I45" s="911">
        <v>7.0000000000000007E-2</v>
      </c>
      <c r="J45" s="912">
        <v>0.15</v>
      </c>
      <c r="K45" s="1135">
        <v>0.73000000000000009</v>
      </c>
    </row>
    <row r="46" spans="1:12" ht="30" customHeight="1">
      <c r="A46" s="898">
        <v>3</v>
      </c>
      <c r="B46" s="899" t="s">
        <v>1462</v>
      </c>
      <c r="C46" s="907">
        <v>0.15</v>
      </c>
      <c r="D46" s="902">
        <v>0.05</v>
      </c>
      <c r="E46" s="902">
        <v>0.15</v>
      </c>
      <c r="F46" s="903"/>
      <c r="G46" s="903">
        <v>0.2</v>
      </c>
      <c r="H46" s="902">
        <v>0.03</v>
      </c>
      <c r="I46" s="902">
        <v>0.1</v>
      </c>
      <c r="J46" s="903">
        <v>0.15</v>
      </c>
      <c r="K46" s="1135">
        <v>0.83000000000000007</v>
      </c>
    </row>
    <row r="47" spans="1:12" ht="30" customHeight="1">
      <c r="A47" s="898">
        <v>4</v>
      </c>
      <c r="B47" s="920" t="s">
        <v>1463</v>
      </c>
      <c r="C47" s="907">
        <v>0.1</v>
      </c>
      <c r="D47" s="902">
        <v>7.0000000000000007E-2</v>
      </c>
      <c r="E47" s="902">
        <v>0.2</v>
      </c>
      <c r="F47" s="903"/>
      <c r="G47" s="903">
        <v>0.1</v>
      </c>
      <c r="H47" s="903">
        <v>0.03</v>
      </c>
      <c r="I47" s="903">
        <v>0.05</v>
      </c>
      <c r="J47" s="903">
        <v>0.15</v>
      </c>
      <c r="K47" s="1135">
        <v>0.70000000000000007</v>
      </c>
    </row>
    <row r="48" spans="1:12" ht="30" customHeight="1">
      <c r="A48" s="898">
        <v>5</v>
      </c>
      <c r="B48" s="899" t="s">
        <v>388</v>
      </c>
      <c r="C48" s="907"/>
      <c r="D48" s="902">
        <v>0.06</v>
      </c>
      <c r="E48" s="902">
        <v>0.04</v>
      </c>
      <c r="F48" s="903"/>
      <c r="G48" s="903">
        <v>0.1</v>
      </c>
      <c r="H48" s="903">
        <v>0.04</v>
      </c>
      <c r="I48" s="903">
        <v>0.08</v>
      </c>
      <c r="J48" s="903">
        <v>0.1</v>
      </c>
      <c r="K48" s="1135">
        <v>0.42000000000000004</v>
      </c>
    </row>
    <row r="49" spans="1:14" ht="30" customHeight="1">
      <c r="A49" s="898">
        <v>6</v>
      </c>
      <c r="B49" s="899" t="s">
        <v>378</v>
      </c>
      <c r="C49" s="907"/>
      <c r="D49" s="902">
        <v>0.05</v>
      </c>
      <c r="E49" s="902">
        <v>7.0000000000000007E-2</v>
      </c>
      <c r="F49" s="902"/>
      <c r="G49" s="902">
        <v>0.05</v>
      </c>
      <c r="H49" s="902">
        <v>0.03</v>
      </c>
      <c r="I49" s="902">
        <v>0.06</v>
      </c>
      <c r="J49" s="902">
        <v>0.1</v>
      </c>
      <c r="K49" s="1135">
        <v>0.36</v>
      </c>
    </row>
    <row r="50" spans="1:14" ht="30" customHeight="1">
      <c r="A50" s="898">
        <v>7</v>
      </c>
      <c r="B50" s="899" t="s">
        <v>1141</v>
      </c>
      <c r="C50" s="907">
        <v>0.1</v>
      </c>
      <c r="D50" s="902">
        <v>0.1</v>
      </c>
      <c r="E50" s="902">
        <v>0.1</v>
      </c>
      <c r="F50" s="903"/>
      <c r="G50" s="903">
        <v>0.1</v>
      </c>
      <c r="H50" s="902">
        <v>0.03</v>
      </c>
      <c r="I50" s="902">
        <v>0.05</v>
      </c>
      <c r="J50" s="903">
        <v>0.15</v>
      </c>
      <c r="K50" s="1135">
        <v>0.63</v>
      </c>
    </row>
    <row r="51" spans="1:14" ht="30" customHeight="1">
      <c r="A51" s="898">
        <v>8</v>
      </c>
      <c r="B51" s="899" t="s">
        <v>417</v>
      </c>
      <c r="C51" s="907">
        <v>0.1</v>
      </c>
      <c r="D51" s="902">
        <v>0.08</v>
      </c>
      <c r="E51" s="902">
        <v>0.05</v>
      </c>
      <c r="F51" s="903"/>
      <c r="G51" s="903">
        <v>0.1</v>
      </c>
      <c r="H51" s="902">
        <v>0.03</v>
      </c>
      <c r="I51" s="902"/>
      <c r="J51" s="903">
        <v>0.2</v>
      </c>
      <c r="K51" s="1135">
        <v>0.56000000000000005</v>
      </c>
    </row>
    <row r="52" spans="1:14" ht="30" customHeight="1">
      <c r="A52" s="898">
        <v>9</v>
      </c>
      <c r="B52" s="899" t="s">
        <v>421</v>
      </c>
      <c r="C52" s="907">
        <v>0.1</v>
      </c>
      <c r="D52" s="902">
        <v>0.1</v>
      </c>
      <c r="E52" s="902">
        <v>0.05</v>
      </c>
      <c r="F52" s="903">
        <v>0.2</v>
      </c>
      <c r="G52" s="903">
        <v>0.2</v>
      </c>
      <c r="H52" s="902">
        <v>0.03</v>
      </c>
      <c r="I52" s="902">
        <v>0.2</v>
      </c>
      <c r="J52" s="903">
        <v>0.2</v>
      </c>
      <c r="K52" s="1135">
        <v>1.08</v>
      </c>
    </row>
    <row r="53" spans="1:14" ht="30" customHeight="1">
      <c r="A53" s="898">
        <v>10</v>
      </c>
      <c r="B53" s="899" t="s">
        <v>1142</v>
      </c>
      <c r="C53" s="907">
        <v>0.05</v>
      </c>
      <c r="D53" s="903">
        <v>0.05</v>
      </c>
      <c r="E53" s="902">
        <v>0.05</v>
      </c>
      <c r="F53" s="903"/>
      <c r="G53" s="902">
        <v>0.1</v>
      </c>
      <c r="H53" s="902">
        <v>0.03</v>
      </c>
      <c r="I53" s="902">
        <v>0.1</v>
      </c>
      <c r="J53" s="903">
        <v>0.1</v>
      </c>
      <c r="K53" s="1135">
        <v>0.48</v>
      </c>
    </row>
    <row r="54" spans="1:14" ht="30" customHeight="1">
      <c r="A54" s="898">
        <v>11</v>
      </c>
      <c r="B54" s="921" t="s">
        <v>1143</v>
      </c>
      <c r="C54" s="902"/>
      <c r="D54" s="902">
        <v>0.03</v>
      </c>
      <c r="E54" s="902">
        <v>0.05</v>
      </c>
      <c r="F54" s="902"/>
      <c r="G54" s="902">
        <v>0.1</v>
      </c>
      <c r="H54" s="902">
        <v>2.5000000000000001E-2</v>
      </c>
      <c r="I54" s="902">
        <v>0.05</v>
      </c>
      <c r="J54" s="902">
        <v>0.1</v>
      </c>
      <c r="K54" s="1135">
        <v>0.35499999999999998</v>
      </c>
    </row>
    <row r="55" spans="1:14" ht="30" customHeight="1">
      <c r="A55" s="898">
        <v>12</v>
      </c>
      <c r="B55" s="899" t="s">
        <v>432</v>
      </c>
      <c r="C55" s="907"/>
      <c r="D55" s="902">
        <v>0.06</v>
      </c>
      <c r="E55" s="902">
        <v>0.05</v>
      </c>
      <c r="F55" s="902"/>
      <c r="G55" s="902">
        <v>0.1</v>
      </c>
      <c r="H55" s="902">
        <v>0.03</v>
      </c>
      <c r="I55" s="902">
        <v>0.05</v>
      </c>
      <c r="J55" s="902">
        <v>0.1</v>
      </c>
      <c r="K55" s="1135">
        <v>0.39</v>
      </c>
    </row>
    <row r="56" spans="1:14" ht="30" customHeight="1">
      <c r="A56" s="922">
        <v>13</v>
      </c>
      <c r="B56" s="913" t="s">
        <v>434</v>
      </c>
      <c r="C56" s="907"/>
      <c r="D56" s="902">
        <v>0.06</v>
      </c>
      <c r="E56" s="902">
        <v>5.0000000000000001E-3</v>
      </c>
      <c r="F56" s="902"/>
      <c r="G56" s="902">
        <v>0.1</v>
      </c>
      <c r="H56" s="902">
        <v>2.5000000000000001E-2</v>
      </c>
      <c r="I56" s="902">
        <v>0.05</v>
      </c>
      <c r="J56" s="902">
        <v>0.1</v>
      </c>
      <c r="K56" s="1135">
        <v>0.33999999999999997</v>
      </c>
      <c r="M56">
        <v>47.831999999999994</v>
      </c>
      <c r="N56" s="561">
        <v>-47.831999999999994</v>
      </c>
    </row>
    <row r="57" spans="1:14" ht="30" customHeight="1">
      <c r="A57" s="923"/>
      <c r="B57" s="924"/>
      <c r="C57" s="925"/>
      <c r="D57" s="926"/>
      <c r="E57" s="926"/>
      <c r="F57" s="926"/>
      <c r="G57" s="926"/>
      <c r="H57" s="926"/>
      <c r="I57" s="926"/>
      <c r="J57" s="926"/>
      <c r="K57" s="927"/>
      <c r="N57" s="561"/>
    </row>
    <row r="58" spans="1:14" ht="30" customHeight="1">
      <c r="A58" s="928" t="s">
        <v>1464</v>
      </c>
      <c r="B58" s="929" t="s">
        <v>1465</v>
      </c>
      <c r="C58" s="930"/>
      <c r="D58" s="931"/>
      <c r="E58" s="931"/>
      <c r="F58" s="931"/>
      <c r="G58" s="931"/>
      <c r="H58" s="931"/>
      <c r="I58" s="931"/>
      <c r="J58" s="931"/>
      <c r="K58" s="897">
        <v>0</v>
      </c>
    </row>
    <row r="59" spans="1:14" ht="30" customHeight="1">
      <c r="A59" s="932">
        <v>1</v>
      </c>
      <c r="B59" s="933" t="s">
        <v>1466</v>
      </c>
      <c r="C59" s="900">
        <v>0.2</v>
      </c>
      <c r="D59" s="900">
        <v>0.03</v>
      </c>
      <c r="E59" s="900">
        <v>0</v>
      </c>
      <c r="F59" s="900">
        <v>0.08</v>
      </c>
      <c r="G59" s="900">
        <v>0.22</v>
      </c>
      <c r="H59" s="900">
        <v>0.02</v>
      </c>
      <c r="I59" s="900">
        <v>0.15</v>
      </c>
      <c r="J59" s="900">
        <v>0.1</v>
      </c>
      <c r="K59" s="1135">
        <v>0.8</v>
      </c>
    </row>
    <row r="60" spans="1:14" ht="30" customHeight="1">
      <c r="A60" s="934">
        <v>2</v>
      </c>
      <c r="B60" s="920" t="s">
        <v>1467</v>
      </c>
      <c r="C60" s="900">
        <v>0.2</v>
      </c>
      <c r="D60" s="900">
        <v>0.03</v>
      </c>
      <c r="E60" s="900">
        <v>0</v>
      </c>
      <c r="F60" s="900">
        <v>0.08</v>
      </c>
      <c r="G60" s="900">
        <v>0.22</v>
      </c>
      <c r="H60" s="900">
        <v>0.02</v>
      </c>
      <c r="I60" s="900">
        <v>0.15</v>
      </c>
      <c r="J60" s="900">
        <v>0.1</v>
      </c>
      <c r="K60" s="1135">
        <v>0.8</v>
      </c>
    </row>
    <row r="61" spans="1:14" ht="30" customHeight="1">
      <c r="A61" s="909" t="s">
        <v>1468</v>
      </c>
      <c r="B61" s="935" t="s">
        <v>1469</v>
      </c>
      <c r="C61" s="936"/>
      <c r="D61" s="936"/>
      <c r="E61" s="936"/>
      <c r="F61" s="936"/>
      <c r="G61" s="936"/>
      <c r="H61" s="936"/>
      <c r="I61" s="936"/>
      <c r="J61" s="936"/>
      <c r="K61" s="900">
        <v>0</v>
      </c>
    </row>
    <row r="62" spans="1:14" ht="30" customHeight="1">
      <c r="A62" s="898">
        <v>1</v>
      </c>
      <c r="B62" s="895" t="s">
        <v>1293</v>
      </c>
      <c r="C62" s="937">
        <v>0.8</v>
      </c>
      <c r="D62" s="938">
        <v>0.5</v>
      </c>
      <c r="E62" s="938">
        <v>0.4</v>
      </c>
      <c r="F62" s="938">
        <v>1</v>
      </c>
      <c r="G62" s="938">
        <v>0.1</v>
      </c>
      <c r="H62" s="938">
        <v>0.15</v>
      </c>
      <c r="I62" s="938">
        <v>0.5</v>
      </c>
      <c r="J62" s="938">
        <v>0.35</v>
      </c>
      <c r="K62" s="1135">
        <v>3.8000000000000003</v>
      </c>
    </row>
    <row r="63" spans="1:14" ht="30" customHeight="1">
      <c r="A63" s="909">
        <v>2</v>
      </c>
      <c r="B63" s="904" t="s">
        <v>1470</v>
      </c>
      <c r="C63" s="937">
        <v>0.08</v>
      </c>
      <c r="D63" s="939">
        <v>0.3</v>
      </c>
      <c r="E63" s="939">
        <v>0.3</v>
      </c>
      <c r="F63" s="939">
        <v>1</v>
      </c>
      <c r="G63" s="939"/>
      <c r="H63" s="939">
        <v>7.4999999999999997E-2</v>
      </c>
      <c r="I63" s="939">
        <v>0.1</v>
      </c>
      <c r="J63" s="939">
        <v>0.2</v>
      </c>
      <c r="K63" s="1135">
        <v>2.0550000000000002</v>
      </c>
    </row>
    <row r="64" spans="1:14" ht="30" customHeight="1">
      <c r="A64" s="898" t="s">
        <v>1471</v>
      </c>
      <c r="B64" s="940" t="s">
        <v>1472</v>
      </c>
      <c r="C64" s="936"/>
      <c r="D64" s="941"/>
      <c r="E64" s="941"/>
      <c r="F64" s="941"/>
      <c r="G64" s="941"/>
      <c r="H64" s="941"/>
      <c r="I64" s="941"/>
      <c r="J64" s="941"/>
      <c r="K64" s="900">
        <v>0</v>
      </c>
    </row>
    <row r="65" spans="1:13" ht="30" customHeight="1">
      <c r="A65" s="898">
        <v>1</v>
      </c>
      <c r="B65" s="895" t="s">
        <v>1317</v>
      </c>
      <c r="C65" s="942">
        <v>0</v>
      </c>
      <c r="D65" s="942">
        <v>0</v>
      </c>
      <c r="E65" s="942">
        <v>0</v>
      </c>
      <c r="F65" s="942">
        <v>0</v>
      </c>
      <c r="G65" s="942">
        <v>0</v>
      </c>
      <c r="H65" s="942">
        <v>0</v>
      </c>
      <c r="I65" s="942">
        <v>0</v>
      </c>
      <c r="J65" s="942">
        <v>0</v>
      </c>
      <c r="K65" s="942">
        <v>0</v>
      </c>
    </row>
    <row r="66" spans="1:13" ht="30" customHeight="1">
      <c r="A66" s="943">
        <v>2</v>
      </c>
      <c r="B66" s="944" t="s">
        <v>1318</v>
      </c>
      <c r="C66" s="945">
        <v>0</v>
      </c>
      <c r="D66" s="945">
        <v>0</v>
      </c>
      <c r="E66" s="945">
        <v>0</v>
      </c>
      <c r="F66" s="945">
        <v>0</v>
      </c>
      <c r="G66" s="945">
        <v>0</v>
      </c>
      <c r="H66" s="945">
        <v>0</v>
      </c>
      <c r="I66" s="945">
        <v>0</v>
      </c>
      <c r="J66" s="945">
        <v>0</v>
      </c>
      <c r="K66" s="945">
        <v>0</v>
      </c>
    </row>
    <row r="67" spans="1:13" ht="30" customHeight="1">
      <c r="A67" s="946" t="s">
        <v>1473</v>
      </c>
      <c r="B67" s="940" t="s">
        <v>1474</v>
      </c>
      <c r="C67" s="947"/>
      <c r="D67" s="941"/>
      <c r="E67" s="941"/>
      <c r="F67" s="941"/>
      <c r="G67" s="941"/>
      <c r="H67" s="941"/>
      <c r="I67" s="941"/>
      <c r="J67" s="941"/>
      <c r="K67" s="900">
        <v>0</v>
      </c>
    </row>
    <row r="68" spans="1:13" ht="30" customHeight="1">
      <c r="A68" s="946">
        <v>1</v>
      </c>
      <c r="B68" s="913" t="s">
        <v>1475</v>
      </c>
      <c r="C68" s="942">
        <v>0</v>
      </c>
      <c r="D68" s="942">
        <v>0.04</v>
      </c>
      <c r="E68" s="942">
        <v>0</v>
      </c>
      <c r="F68" s="942">
        <v>0</v>
      </c>
      <c r="G68" s="942">
        <v>0.1</v>
      </c>
      <c r="H68" s="942">
        <v>0</v>
      </c>
      <c r="I68" s="942">
        <v>0</v>
      </c>
      <c r="J68" s="942">
        <v>0.1</v>
      </c>
      <c r="K68" s="1135">
        <v>0.24000000000000002</v>
      </c>
      <c r="L68" s="562">
        <v>7.6950000000000003</v>
      </c>
    </row>
    <row r="69" spans="1:13" ht="30" customHeight="1">
      <c r="A69" s="909"/>
      <c r="B69" s="948"/>
      <c r="C69" s="949"/>
      <c r="D69" s="949"/>
      <c r="E69" s="949"/>
      <c r="F69" s="949"/>
      <c r="G69" s="949"/>
      <c r="H69" s="949"/>
      <c r="I69" s="949"/>
      <c r="J69" s="949"/>
      <c r="K69" s="950"/>
    </row>
    <row r="70" spans="1:13" ht="30" customHeight="1">
      <c r="A70" s="946"/>
      <c r="B70" s="951" t="s">
        <v>1476</v>
      </c>
      <c r="C70" s="952">
        <v>4.7550000000000008</v>
      </c>
      <c r="D70" s="952">
        <v>4.8199999999999994</v>
      </c>
      <c r="E70" s="952">
        <v>3.6799999999999993</v>
      </c>
      <c r="F70" s="952">
        <v>19.470999999999997</v>
      </c>
      <c r="G70" s="952">
        <v>5.894999999999996</v>
      </c>
      <c r="H70" s="952">
        <v>1.8450000000000002</v>
      </c>
      <c r="I70" s="952">
        <v>7.1299999999999972</v>
      </c>
      <c r="J70" s="952">
        <v>8.0249999999999968</v>
      </c>
      <c r="K70" s="952">
        <v>55.620999999999995</v>
      </c>
      <c r="M70" s="562"/>
    </row>
    <row r="71" spans="1:13" ht="30" customHeight="1">
      <c r="A71" s="922" t="s">
        <v>1477</v>
      </c>
      <c r="B71" s="953" t="s">
        <v>1478</v>
      </c>
      <c r="C71" s="954">
        <v>14.14</v>
      </c>
      <c r="D71" s="954">
        <v>4.8780000000000001</v>
      </c>
      <c r="E71" s="954">
        <v>16.867999999999999</v>
      </c>
      <c r="F71" s="954">
        <v>0</v>
      </c>
      <c r="G71" s="954">
        <v>3.879</v>
      </c>
      <c r="H71" s="954">
        <v>3.4849999999999999</v>
      </c>
      <c r="I71" s="954">
        <v>1.218</v>
      </c>
      <c r="J71" s="954">
        <v>10.962999999999999</v>
      </c>
      <c r="K71" s="1136">
        <v>55.43099999999999</v>
      </c>
      <c r="M71" s="562"/>
    </row>
    <row r="72" spans="1:13" ht="30" customHeight="1">
      <c r="A72" s="955"/>
      <c r="B72" s="953" t="s">
        <v>152</v>
      </c>
      <c r="C72" s="954">
        <v>18.895000000000003</v>
      </c>
      <c r="D72" s="954">
        <v>9.6980000000000004</v>
      </c>
      <c r="E72" s="954">
        <v>20.547999999999998</v>
      </c>
      <c r="F72" s="954">
        <v>19.470999999999997</v>
      </c>
      <c r="G72" s="954">
        <v>9.7739999999999956</v>
      </c>
      <c r="H72" s="954">
        <v>5.33</v>
      </c>
      <c r="I72" s="954">
        <v>8.3479999999999972</v>
      </c>
      <c r="J72" s="954">
        <v>18.987999999999996</v>
      </c>
      <c r="K72" s="954">
        <v>111.05199999999999</v>
      </c>
      <c r="M72" s="562"/>
    </row>
    <row r="73" spans="1:13" ht="30" customHeight="1">
      <c r="A73" s="956"/>
      <c r="B73" s="957"/>
      <c r="C73" s="958">
        <v>0</v>
      </c>
      <c r="D73" s="958">
        <v>0</v>
      </c>
      <c r="E73" s="958">
        <v>0</v>
      </c>
      <c r="F73" s="958">
        <v>0</v>
      </c>
      <c r="G73" s="958">
        <v>0</v>
      </c>
      <c r="H73" s="958">
        <v>0</v>
      </c>
      <c r="I73" s="958">
        <v>0</v>
      </c>
      <c r="J73" s="958">
        <v>0</v>
      </c>
      <c r="K73" s="958"/>
    </row>
    <row r="74" spans="1:13" ht="30" customHeight="1">
      <c r="A74" s="956"/>
      <c r="B74" s="957"/>
      <c r="C74" s="958"/>
      <c r="D74" s="958"/>
      <c r="E74" s="958"/>
      <c r="F74" s="958"/>
      <c r="G74" s="958"/>
      <c r="H74" s="958"/>
      <c r="I74" s="958"/>
      <c r="J74" s="958"/>
      <c r="K74" s="958"/>
    </row>
    <row r="75" spans="1:13" ht="30" customHeight="1">
      <c r="A75" s="956"/>
      <c r="B75" s="957"/>
      <c r="C75" s="958"/>
      <c r="D75" s="958"/>
      <c r="E75" s="958"/>
      <c r="F75" s="958"/>
      <c r="G75" s="958"/>
      <c r="H75" s="958"/>
      <c r="I75" s="958"/>
      <c r="J75" s="958"/>
      <c r="K75" s="958"/>
    </row>
    <row r="76" spans="1:13" ht="30" customHeight="1">
      <c r="A76" s="956"/>
      <c r="B76" s="957"/>
      <c r="C76" s="958"/>
      <c r="D76" s="958"/>
      <c r="E76" s="958"/>
      <c r="F76" s="958"/>
      <c r="G76" s="958"/>
      <c r="H76" s="958"/>
      <c r="I76" s="958"/>
      <c r="J76" s="958"/>
      <c r="K76" s="958"/>
    </row>
    <row r="77" spans="1:13" ht="30" customHeight="1">
      <c r="E77" s="959"/>
    </row>
  </sheetData>
  <mergeCells count="6">
    <mergeCell ref="B31:K31"/>
    <mergeCell ref="A1:K1"/>
    <mergeCell ref="J2:K2"/>
    <mergeCell ref="B4:K4"/>
    <mergeCell ref="B11:K11"/>
    <mergeCell ref="B19:K19"/>
  </mergeCells>
  <pageMargins left="0.7" right="0.7" top="0.75" bottom="0.75" header="0.3" footer="0.3"/>
  <pageSetup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O84"/>
  <sheetViews>
    <sheetView workbookViewId="0">
      <pane ySplit="7" topLeftCell="A8" activePane="bottomLeft" state="frozen"/>
      <selection pane="bottomLeft" activeCell="A9" sqref="A9:J78"/>
    </sheetView>
  </sheetViews>
  <sheetFormatPr defaultRowHeight="15"/>
  <cols>
    <col min="1" max="1" width="10.28515625" bestFit="1" customWidth="1"/>
    <col min="2" max="2" width="39.140625" customWidth="1"/>
    <col min="3" max="3" width="12.5703125" bestFit="1" customWidth="1"/>
    <col min="4" max="4" width="12.42578125" customWidth="1"/>
    <col min="5" max="5" width="10.28515625" bestFit="1" customWidth="1"/>
    <col min="6" max="6" width="11.7109375" bestFit="1" customWidth="1"/>
    <col min="7" max="7" width="15.42578125" customWidth="1"/>
    <col min="8" max="8" width="15.42578125" hidden="1" customWidth="1"/>
    <col min="9" max="9" width="16.140625" hidden="1" customWidth="1"/>
    <col min="10" max="10" width="12.28515625" customWidth="1"/>
  </cols>
  <sheetData>
    <row r="1" spans="1:15" ht="18.95" customHeight="1">
      <c r="A1" s="138"/>
      <c r="B1" s="138"/>
      <c r="C1" s="139"/>
      <c r="D1" s="139"/>
      <c r="E1" s="139"/>
      <c r="F1" s="139"/>
      <c r="G1" s="139"/>
      <c r="H1" s="139"/>
      <c r="I1" s="963"/>
    </row>
    <row r="2" spans="1:15" ht="18.95" customHeight="1">
      <c r="A2" s="1261" t="s">
        <v>1119</v>
      </c>
      <c r="B2" s="1262"/>
      <c r="C2" s="1262"/>
      <c r="D2" s="1262"/>
      <c r="E2" s="1262"/>
      <c r="F2" s="1262"/>
      <c r="G2" s="1262"/>
      <c r="H2" s="1262"/>
      <c r="I2" s="1262"/>
    </row>
    <row r="3" spans="1:15" ht="18.95" customHeight="1">
      <c r="A3" s="1261" t="s">
        <v>1486</v>
      </c>
      <c r="B3" s="1261"/>
      <c r="C3" s="1261"/>
      <c r="D3" s="1261"/>
      <c r="E3" s="1261"/>
      <c r="F3" s="1261"/>
      <c r="G3" s="1261"/>
      <c r="H3" s="1261"/>
      <c r="I3" s="1261"/>
    </row>
    <row r="4" spans="1:15" ht="18.95" customHeight="1">
      <c r="A4" s="1270"/>
      <c r="B4" s="1270"/>
      <c r="C4" s="1270"/>
      <c r="D4" s="1270"/>
      <c r="E4" s="1270"/>
      <c r="F4" s="1270"/>
      <c r="G4" s="1270"/>
      <c r="H4" s="1270"/>
      <c r="I4" s="1270"/>
    </row>
    <row r="5" spans="1:15" ht="18.95" hidden="1" customHeight="1">
      <c r="A5" s="141"/>
      <c r="B5" s="142"/>
      <c r="C5" s="143"/>
      <c r="D5" s="143"/>
      <c r="E5" s="143"/>
      <c r="F5" s="143"/>
      <c r="G5" s="143"/>
      <c r="H5" s="143"/>
      <c r="I5" s="181" t="s">
        <v>955</v>
      </c>
    </row>
    <row r="6" spans="1:15" ht="18.95" customHeight="1">
      <c r="A6" s="1263" t="s">
        <v>161</v>
      </c>
      <c r="B6" s="1263" t="s">
        <v>162</v>
      </c>
      <c r="C6" s="1264" t="s">
        <v>1512</v>
      </c>
      <c r="D6" s="1276" t="s">
        <v>1511</v>
      </c>
      <c r="E6" s="1277"/>
      <c r="F6" s="1277"/>
      <c r="G6" s="1277"/>
      <c r="H6" s="1278"/>
      <c r="I6" s="1265" t="s">
        <v>1091</v>
      </c>
      <c r="J6" s="1232" t="s">
        <v>1519</v>
      </c>
    </row>
    <row r="7" spans="1:15" ht="30">
      <c r="A7" s="1263"/>
      <c r="B7" s="1263"/>
      <c r="C7" s="1264"/>
      <c r="D7" s="1046" t="s">
        <v>818</v>
      </c>
      <c r="E7" s="886" t="s">
        <v>1514</v>
      </c>
      <c r="F7" s="886" t="s">
        <v>1518</v>
      </c>
      <c r="G7" s="1046" t="s">
        <v>819</v>
      </c>
      <c r="H7" s="1046" t="s">
        <v>1504</v>
      </c>
      <c r="I7" s="1266"/>
      <c r="J7" s="1232"/>
    </row>
    <row r="8" spans="1:15" ht="18.95" customHeight="1">
      <c r="A8" s="1273"/>
      <c r="B8" s="1274"/>
      <c r="C8" s="1274"/>
      <c r="D8" s="1274"/>
      <c r="E8" s="1274"/>
      <c r="F8" s="1274"/>
      <c r="G8" s="1274"/>
      <c r="H8" s="1274"/>
      <c r="I8" s="1275"/>
    </row>
    <row r="9" spans="1:15" ht="18.95" customHeight="1">
      <c r="A9" s="991" t="s">
        <v>287</v>
      </c>
      <c r="B9" s="992" t="s">
        <v>605</v>
      </c>
      <c r="C9" s="559">
        <v>38.033999999999992</v>
      </c>
      <c r="D9" s="559">
        <v>70.873000000000005</v>
      </c>
      <c r="E9" s="559">
        <v>28.811</v>
      </c>
      <c r="F9" s="559">
        <v>3.0059999999999998</v>
      </c>
      <c r="G9" s="559">
        <v>31.817</v>
      </c>
      <c r="H9" s="559">
        <v>0</v>
      </c>
      <c r="I9" s="1088">
        <v>34.998700000000007</v>
      </c>
      <c r="J9" s="1126">
        <v>40.819900000000004</v>
      </c>
      <c r="L9" s="561">
        <f>C9-38.034</f>
        <v>0</v>
      </c>
      <c r="O9" s="561"/>
    </row>
    <row r="10" spans="1:15" ht="18.95" customHeight="1">
      <c r="A10" s="826" t="s">
        <v>288</v>
      </c>
      <c r="B10" s="826" t="s">
        <v>580</v>
      </c>
      <c r="C10" s="560"/>
      <c r="D10" s="560"/>
      <c r="E10" s="560"/>
      <c r="F10" s="560"/>
      <c r="G10" s="560"/>
      <c r="H10" s="560"/>
      <c r="I10" s="560"/>
      <c r="J10" s="1108"/>
      <c r="O10" s="561"/>
    </row>
    <row r="11" spans="1:15" ht="18.95" customHeight="1">
      <c r="A11" s="826" t="s">
        <v>289</v>
      </c>
      <c r="B11" s="826" t="s">
        <v>1516</v>
      </c>
      <c r="C11" s="560">
        <v>21.055</v>
      </c>
      <c r="D11" s="1108">
        <v>55.640200000000007</v>
      </c>
      <c r="E11" s="560">
        <v>19.911000000000001</v>
      </c>
      <c r="F11" s="560">
        <v>3.0059999999999998</v>
      </c>
      <c r="G11" s="560">
        <v>22.917000000000002</v>
      </c>
      <c r="H11" s="560"/>
      <c r="I11" s="560">
        <v>25.208700000000004</v>
      </c>
      <c r="J11" s="1108">
        <v>23.160500000000003</v>
      </c>
      <c r="O11" s="561"/>
    </row>
    <row r="12" spans="1:15" ht="18.95" customHeight="1">
      <c r="A12" s="826" t="s">
        <v>582</v>
      </c>
      <c r="B12" s="826" t="s">
        <v>1517</v>
      </c>
      <c r="C12" s="560">
        <v>16.053999999999998</v>
      </c>
      <c r="D12" s="1108">
        <v>15.232800000000003</v>
      </c>
      <c r="E12" s="560">
        <v>8.9</v>
      </c>
      <c r="F12" s="560"/>
      <c r="G12" s="560">
        <v>8.9</v>
      </c>
      <c r="H12" s="560"/>
      <c r="I12" s="560">
        <v>9.7900000000000009</v>
      </c>
      <c r="J12" s="1108">
        <v>17.659400000000002</v>
      </c>
      <c r="O12" s="561"/>
    </row>
    <row r="13" spans="1:15">
      <c r="A13" s="826" t="s">
        <v>584</v>
      </c>
      <c r="B13" s="826" t="s">
        <v>585</v>
      </c>
      <c r="C13" s="560">
        <v>0.92500000000000004</v>
      </c>
      <c r="D13" s="1108"/>
      <c r="E13" s="560"/>
      <c r="F13" s="560"/>
      <c r="G13" s="560"/>
      <c r="H13" s="560"/>
      <c r="I13" s="560"/>
      <c r="J13" s="1108"/>
      <c r="O13" s="561"/>
    </row>
    <row r="14" spans="1:15" ht="25.5" hidden="1">
      <c r="A14" s="1124" t="s">
        <v>586</v>
      </c>
      <c r="B14" s="1125" t="s">
        <v>587</v>
      </c>
      <c r="C14" s="1059"/>
      <c r="D14" s="1119"/>
      <c r="E14" s="541"/>
      <c r="F14" s="541"/>
      <c r="G14" s="541"/>
      <c r="H14" s="1059"/>
      <c r="I14" s="1059"/>
      <c r="J14" s="1119"/>
      <c r="O14" s="561"/>
    </row>
    <row r="15" spans="1:15" ht="25.5" hidden="1">
      <c r="A15" s="208" t="s">
        <v>588</v>
      </c>
      <c r="B15" s="210" t="s">
        <v>847</v>
      </c>
      <c r="C15" s="1060"/>
      <c r="D15" s="1108"/>
      <c r="E15" s="534"/>
      <c r="F15" s="534"/>
      <c r="G15" s="534"/>
      <c r="H15" s="1060"/>
      <c r="I15" s="1060"/>
      <c r="J15" s="1108"/>
      <c r="O15" s="561"/>
    </row>
    <row r="16" spans="1:15" ht="25.5" hidden="1">
      <c r="A16" s="208" t="s">
        <v>589</v>
      </c>
      <c r="B16" s="531" t="s">
        <v>590</v>
      </c>
      <c r="C16" s="536"/>
      <c r="D16" s="1108"/>
      <c r="E16" s="536"/>
      <c r="F16" s="536"/>
      <c r="G16" s="536"/>
      <c r="H16" s="536"/>
      <c r="I16" s="535"/>
      <c r="J16" s="1108"/>
      <c r="O16" s="561"/>
    </row>
    <row r="17" spans="1:15" ht="25.5" hidden="1">
      <c r="A17" s="208" t="s">
        <v>591</v>
      </c>
      <c r="B17" s="531" t="s">
        <v>849</v>
      </c>
      <c r="C17" s="538"/>
      <c r="D17" s="1108"/>
      <c r="E17" s="538"/>
      <c r="F17" s="538"/>
      <c r="G17" s="538"/>
      <c r="H17" s="538"/>
      <c r="I17" s="537"/>
      <c r="J17" s="1108"/>
      <c r="O17" s="561"/>
    </row>
    <row r="18" spans="1:15" ht="25.5" hidden="1">
      <c r="A18" s="208" t="s">
        <v>592</v>
      </c>
      <c r="B18" s="531" t="s">
        <v>593</v>
      </c>
      <c r="C18" s="538"/>
      <c r="D18" s="1108"/>
      <c r="E18" s="538"/>
      <c r="F18" s="538"/>
      <c r="G18" s="538"/>
      <c r="H18" s="538"/>
      <c r="I18" s="537"/>
      <c r="J18" s="1108"/>
      <c r="O18" s="561"/>
    </row>
    <row r="19" spans="1:15" ht="25.5" hidden="1">
      <c r="A19" s="208" t="s">
        <v>594</v>
      </c>
      <c r="B19" s="531" t="s">
        <v>595</v>
      </c>
      <c r="C19" s="540"/>
      <c r="D19" s="1108"/>
      <c r="E19" s="540"/>
      <c r="F19" s="540"/>
      <c r="G19" s="540"/>
      <c r="H19" s="540"/>
      <c r="I19" s="539"/>
      <c r="J19" s="1108"/>
      <c r="O19" s="561"/>
    </row>
    <row r="20" spans="1:15" hidden="1">
      <c r="A20" s="208" t="s">
        <v>596</v>
      </c>
      <c r="B20" s="209" t="s">
        <v>597</v>
      </c>
      <c r="C20" s="1059"/>
      <c r="D20" s="1108"/>
      <c r="E20" s="541"/>
      <c r="F20" s="541"/>
      <c r="G20" s="541"/>
      <c r="H20" s="1059"/>
      <c r="I20" s="1059"/>
      <c r="J20" s="1108"/>
      <c r="O20" s="561"/>
    </row>
    <row r="21" spans="1:15" hidden="1">
      <c r="A21" s="208" t="s">
        <v>598</v>
      </c>
      <c r="B21" s="209" t="s">
        <v>599</v>
      </c>
      <c r="C21" s="888"/>
      <c r="D21" s="1108"/>
      <c r="E21" s="533"/>
      <c r="F21" s="533"/>
      <c r="G21" s="533"/>
      <c r="H21" s="888"/>
      <c r="I21" s="888"/>
      <c r="J21" s="1108"/>
      <c r="O21" s="561"/>
    </row>
    <row r="22" spans="1:15" ht="25.5" hidden="1">
      <c r="A22" s="208" t="s">
        <v>600</v>
      </c>
      <c r="B22" s="209" t="s">
        <v>601</v>
      </c>
      <c r="C22" s="888"/>
      <c r="D22" s="1108"/>
      <c r="E22" s="533"/>
      <c r="F22" s="533"/>
      <c r="G22" s="533"/>
      <c r="H22" s="888"/>
      <c r="I22" s="888"/>
      <c r="J22" s="1108"/>
      <c r="O22" s="561"/>
    </row>
    <row r="23" spans="1:15" ht="38.25" hidden="1">
      <c r="A23" s="208" t="s">
        <v>602</v>
      </c>
      <c r="B23" s="209" t="s">
        <v>848</v>
      </c>
      <c r="C23" s="888"/>
      <c r="D23" s="1108"/>
      <c r="E23" s="533"/>
      <c r="F23" s="533"/>
      <c r="G23" s="533"/>
      <c r="H23" s="888"/>
      <c r="I23" s="888"/>
      <c r="J23" s="1108"/>
      <c r="O23" s="561"/>
    </row>
    <row r="24" spans="1:15" hidden="1">
      <c r="A24" s="208" t="s">
        <v>914</v>
      </c>
      <c r="B24" s="209" t="s">
        <v>949</v>
      </c>
      <c r="C24" s="888"/>
      <c r="D24" s="1108"/>
      <c r="E24" s="533"/>
      <c r="F24" s="533"/>
      <c r="G24" s="533"/>
      <c r="H24" s="888"/>
      <c r="I24" s="888"/>
      <c r="J24" s="1108"/>
      <c r="O24" s="561"/>
    </row>
    <row r="25" spans="1:15" hidden="1">
      <c r="A25" s="208" t="s">
        <v>950</v>
      </c>
      <c r="B25" s="209" t="s">
        <v>952</v>
      </c>
      <c r="C25" s="888"/>
      <c r="D25" s="1108"/>
      <c r="E25" s="533"/>
      <c r="F25" s="533"/>
      <c r="G25" s="533"/>
      <c r="H25" s="888"/>
      <c r="I25" s="888"/>
      <c r="J25" s="1108"/>
      <c r="O25" s="561"/>
    </row>
    <row r="26" spans="1:15" hidden="1">
      <c r="A26" s="208" t="s">
        <v>951</v>
      </c>
      <c r="B26" s="209" t="s">
        <v>953</v>
      </c>
      <c r="C26" s="888"/>
      <c r="D26" s="1108"/>
      <c r="E26" s="533"/>
      <c r="F26" s="533"/>
      <c r="G26" s="533"/>
      <c r="H26" s="888"/>
      <c r="I26" s="888"/>
      <c r="J26" s="1108"/>
      <c r="O26" s="561"/>
    </row>
    <row r="27" spans="1:15" hidden="1">
      <c r="A27" s="208" t="s">
        <v>603</v>
      </c>
      <c r="B27" s="209" t="s">
        <v>604</v>
      </c>
      <c r="C27" s="888"/>
      <c r="D27" s="1108"/>
      <c r="E27" s="533"/>
      <c r="F27" s="533"/>
      <c r="G27" s="533"/>
      <c r="H27" s="888"/>
      <c r="I27" s="888"/>
      <c r="J27" s="1108"/>
      <c r="O27" s="561"/>
    </row>
    <row r="28" spans="1:15" ht="30" hidden="1">
      <c r="A28" s="206" t="s">
        <v>617</v>
      </c>
      <c r="B28" s="207" t="s">
        <v>618</v>
      </c>
      <c r="C28" s="1061"/>
      <c r="D28" s="1108">
        <v>0</v>
      </c>
      <c r="E28" s="532">
        <v>0</v>
      </c>
      <c r="F28" s="532">
        <v>0</v>
      </c>
      <c r="G28" s="532"/>
      <c r="H28" s="1061"/>
      <c r="I28" s="1061">
        <v>0</v>
      </c>
      <c r="J28" s="1108"/>
      <c r="O28" s="561"/>
    </row>
    <row r="29" spans="1:15" hidden="1">
      <c r="A29" s="208" t="s">
        <v>290</v>
      </c>
      <c r="B29" s="209" t="s">
        <v>606</v>
      </c>
      <c r="C29" s="888"/>
      <c r="D29" s="1108"/>
      <c r="E29" s="533"/>
      <c r="F29" s="533"/>
      <c r="G29" s="533"/>
      <c r="H29" s="888"/>
      <c r="I29" s="888"/>
      <c r="J29" s="1108"/>
      <c r="O29" s="561"/>
    </row>
    <row r="30" spans="1:15" hidden="1">
      <c r="A30" s="208" t="s">
        <v>607</v>
      </c>
      <c r="B30" s="209" t="s">
        <v>608</v>
      </c>
      <c r="C30" s="888"/>
      <c r="D30" s="1108"/>
      <c r="E30" s="533"/>
      <c r="F30" s="533"/>
      <c r="G30" s="533"/>
      <c r="H30" s="888"/>
      <c r="I30" s="888"/>
      <c r="J30" s="1108"/>
      <c r="O30" s="561"/>
    </row>
    <row r="31" spans="1:15" hidden="1">
      <c r="A31" s="208" t="s">
        <v>609</v>
      </c>
      <c r="B31" s="209" t="s">
        <v>610</v>
      </c>
      <c r="C31" s="888"/>
      <c r="D31" s="1108"/>
      <c r="E31" s="533"/>
      <c r="F31" s="533"/>
      <c r="G31" s="533"/>
      <c r="H31" s="888"/>
      <c r="I31" s="888"/>
      <c r="J31" s="1108"/>
      <c r="O31" s="561"/>
    </row>
    <row r="32" spans="1:15" hidden="1">
      <c r="A32" s="208" t="s">
        <v>611</v>
      </c>
      <c r="B32" s="209" t="s">
        <v>612</v>
      </c>
      <c r="C32" s="888"/>
      <c r="D32" s="1108"/>
      <c r="E32" s="533"/>
      <c r="F32" s="533"/>
      <c r="G32" s="533"/>
      <c r="H32" s="888"/>
      <c r="I32" s="888"/>
      <c r="J32" s="1108"/>
      <c r="O32" s="561"/>
    </row>
    <row r="33" spans="1:15" hidden="1">
      <c r="A33" s="208" t="s">
        <v>613</v>
      </c>
      <c r="B33" s="209" t="s">
        <v>614</v>
      </c>
      <c r="C33" s="888"/>
      <c r="D33" s="1108"/>
      <c r="E33" s="533"/>
      <c r="F33" s="533"/>
      <c r="G33" s="533"/>
      <c r="H33" s="888"/>
      <c r="I33" s="888"/>
      <c r="J33" s="1108"/>
      <c r="O33" s="561"/>
    </row>
    <row r="34" spans="1:15" hidden="1">
      <c r="A34" s="208" t="s">
        <v>615</v>
      </c>
      <c r="B34" s="209" t="s">
        <v>616</v>
      </c>
      <c r="C34" s="888"/>
      <c r="D34" s="1108"/>
      <c r="E34" s="533"/>
      <c r="F34" s="533"/>
      <c r="G34" s="533"/>
      <c r="H34" s="888"/>
      <c r="I34" s="888"/>
      <c r="J34" s="1108"/>
      <c r="O34" s="561"/>
    </row>
    <row r="35" spans="1:15" hidden="1">
      <c r="A35" s="206" t="s">
        <v>619</v>
      </c>
      <c r="B35" s="207" t="s">
        <v>620</v>
      </c>
      <c r="C35" s="1062"/>
      <c r="D35" s="1108">
        <v>0</v>
      </c>
      <c r="E35" s="542"/>
      <c r="F35" s="542"/>
      <c r="G35" s="542"/>
      <c r="H35" s="1062"/>
      <c r="I35" s="1061">
        <v>0</v>
      </c>
      <c r="J35" s="1108"/>
      <c r="O35" s="561"/>
    </row>
    <row r="36" spans="1:15" hidden="1">
      <c r="A36" s="1127"/>
      <c r="B36" s="1128"/>
      <c r="C36" s="1128"/>
      <c r="D36" s="1108"/>
      <c r="E36" s="1128"/>
      <c r="F36" s="1128"/>
      <c r="G36" s="1128"/>
      <c r="H36" s="1128"/>
      <c r="I36" s="1129"/>
      <c r="J36" s="1108"/>
      <c r="O36" s="561"/>
    </row>
    <row r="37" spans="1:15" ht="30" hidden="1">
      <c r="A37" s="206" t="s">
        <v>630</v>
      </c>
      <c r="B37" s="207" t="s">
        <v>854</v>
      </c>
      <c r="C37" s="1061"/>
      <c r="D37" s="1108">
        <v>0</v>
      </c>
      <c r="E37" s="532">
        <v>0</v>
      </c>
      <c r="F37" s="532">
        <v>0</v>
      </c>
      <c r="G37" s="532"/>
      <c r="H37" s="1061"/>
      <c r="I37" s="1061">
        <v>0</v>
      </c>
      <c r="J37" s="1108"/>
      <c r="O37" s="561"/>
    </row>
    <row r="38" spans="1:15" ht="25.5" hidden="1">
      <c r="A38" s="208" t="s">
        <v>292</v>
      </c>
      <c r="B38" s="209" t="s">
        <v>621</v>
      </c>
      <c r="C38" s="888"/>
      <c r="D38" s="1108"/>
      <c r="E38" s="533"/>
      <c r="F38" s="533"/>
      <c r="G38" s="533"/>
      <c r="H38" s="888"/>
      <c r="I38" s="888"/>
      <c r="J38" s="1108"/>
      <c r="O38" s="561"/>
    </row>
    <row r="39" spans="1:15" ht="25.5" hidden="1">
      <c r="A39" s="208" t="s">
        <v>622</v>
      </c>
      <c r="B39" s="209" t="s">
        <v>623</v>
      </c>
      <c r="C39" s="888"/>
      <c r="D39" s="1108"/>
      <c r="E39" s="533"/>
      <c r="F39" s="533"/>
      <c r="G39" s="533"/>
      <c r="H39" s="888"/>
      <c r="I39" s="888"/>
      <c r="J39" s="1108"/>
      <c r="O39" s="561"/>
    </row>
    <row r="40" spans="1:15" hidden="1">
      <c r="A40" s="208" t="s">
        <v>624</v>
      </c>
      <c r="B40" s="209" t="s">
        <v>625</v>
      </c>
      <c r="C40" s="888"/>
      <c r="D40" s="1108"/>
      <c r="E40" s="533"/>
      <c r="F40" s="533"/>
      <c r="G40" s="533"/>
      <c r="H40" s="888"/>
      <c r="I40" s="888"/>
      <c r="J40" s="1108"/>
      <c r="O40" s="561"/>
    </row>
    <row r="41" spans="1:15" ht="25.5" hidden="1">
      <c r="A41" s="208" t="s">
        <v>626</v>
      </c>
      <c r="B41" s="209" t="s">
        <v>850</v>
      </c>
      <c r="C41" s="888"/>
      <c r="D41" s="1108"/>
      <c r="E41" s="533"/>
      <c r="F41" s="533"/>
      <c r="G41" s="533"/>
      <c r="H41" s="888"/>
      <c r="I41" s="888"/>
      <c r="J41" s="1108"/>
      <c r="O41" s="561"/>
    </row>
    <row r="42" spans="1:15" ht="25.5" hidden="1">
      <c r="A42" s="208" t="s">
        <v>627</v>
      </c>
      <c r="B42" s="209" t="s">
        <v>851</v>
      </c>
      <c r="C42" s="888"/>
      <c r="D42" s="1108"/>
      <c r="E42" s="533"/>
      <c r="F42" s="533"/>
      <c r="G42" s="533"/>
      <c r="H42" s="888"/>
      <c r="I42" s="888"/>
      <c r="J42" s="1108"/>
      <c r="O42" s="561"/>
    </row>
    <row r="43" spans="1:15" hidden="1">
      <c r="A43" s="208" t="s">
        <v>628</v>
      </c>
      <c r="B43" s="209" t="s">
        <v>629</v>
      </c>
      <c r="C43" s="888"/>
      <c r="D43" s="1108"/>
      <c r="E43" s="533"/>
      <c r="F43" s="533"/>
      <c r="G43" s="533"/>
      <c r="H43" s="888"/>
      <c r="I43" s="888"/>
      <c r="J43" s="1108"/>
      <c r="O43" s="561"/>
    </row>
    <row r="44" spans="1:15" ht="30" hidden="1">
      <c r="A44" s="206" t="s">
        <v>630</v>
      </c>
      <c r="B44" s="207" t="s">
        <v>852</v>
      </c>
      <c r="C44" s="1061"/>
      <c r="D44" s="1108">
        <v>0</v>
      </c>
      <c r="E44" s="532"/>
      <c r="F44" s="532"/>
      <c r="G44" s="532"/>
      <c r="H44" s="1061"/>
      <c r="I44" s="1061">
        <v>0</v>
      </c>
      <c r="J44" s="1108"/>
      <c r="O44" s="561"/>
    </row>
    <row r="45" spans="1:15" hidden="1">
      <c r="A45" s="208" t="s">
        <v>631</v>
      </c>
      <c r="B45" s="209" t="s">
        <v>632</v>
      </c>
      <c r="C45" s="888"/>
      <c r="D45" s="1108"/>
      <c r="E45" s="533"/>
      <c r="F45" s="533"/>
      <c r="G45" s="533"/>
      <c r="H45" s="888"/>
      <c r="I45" s="888"/>
      <c r="J45" s="1108"/>
      <c r="O45" s="561"/>
    </row>
    <row r="46" spans="1:15" ht="25.5" hidden="1">
      <c r="A46" s="208" t="s">
        <v>633</v>
      </c>
      <c r="B46" s="209" t="s">
        <v>634</v>
      </c>
      <c r="C46" s="888"/>
      <c r="D46" s="1108"/>
      <c r="E46" s="533"/>
      <c r="F46" s="533"/>
      <c r="G46" s="533"/>
      <c r="H46" s="888"/>
      <c r="I46" s="888"/>
      <c r="J46" s="1108"/>
      <c r="O46" s="561"/>
    </row>
    <row r="47" spans="1:15" ht="25.5" hidden="1">
      <c r="A47" s="208" t="s">
        <v>635</v>
      </c>
      <c r="B47" s="209" t="s">
        <v>636</v>
      </c>
      <c r="C47" s="888"/>
      <c r="D47" s="1108"/>
      <c r="E47" s="533"/>
      <c r="F47" s="533"/>
      <c r="G47" s="533"/>
      <c r="H47" s="888"/>
      <c r="I47" s="888"/>
      <c r="J47" s="1108"/>
      <c r="O47" s="561"/>
    </row>
    <row r="48" spans="1:15" ht="38.25" hidden="1">
      <c r="A48" s="208" t="s">
        <v>637</v>
      </c>
      <c r="B48" s="209" t="s">
        <v>638</v>
      </c>
      <c r="C48" s="888"/>
      <c r="D48" s="1108"/>
      <c r="E48" s="533"/>
      <c r="F48" s="533"/>
      <c r="G48" s="533"/>
      <c r="H48" s="888"/>
      <c r="I48" s="888"/>
      <c r="J48" s="1108"/>
      <c r="O48" s="561"/>
    </row>
    <row r="49" spans="1:15" hidden="1">
      <c r="A49" s="208" t="s">
        <v>639</v>
      </c>
      <c r="B49" s="209" t="s">
        <v>640</v>
      </c>
      <c r="C49" s="888"/>
      <c r="D49" s="1108"/>
      <c r="E49" s="533"/>
      <c r="F49" s="533"/>
      <c r="G49" s="533"/>
      <c r="H49" s="888"/>
      <c r="I49" s="888"/>
      <c r="J49" s="1108"/>
      <c r="O49" s="561"/>
    </row>
    <row r="50" spans="1:15" ht="45" hidden="1">
      <c r="A50" s="206" t="s">
        <v>291</v>
      </c>
      <c r="B50" s="211" t="s">
        <v>649</v>
      </c>
      <c r="C50" s="1061"/>
      <c r="D50" s="1108">
        <v>0</v>
      </c>
      <c r="E50" s="532">
        <v>0</v>
      </c>
      <c r="F50" s="532">
        <v>0</v>
      </c>
      <c r="G50" s="532"/>
      <c r="H50" s="1061"/>
      <c r="I50" s="1061">
        <v>0</v>
      </c>
      <c r="J50" s="1108"/>
      <c r="O50" s="561"/>
    </row>
    <row r="51" spans="1:15" ht="25.5" hidden="1">
      <c r="A51" s="208" t="s">
        <v>641</v>
      </c>
      <c r="B51" s="209" t="s">
        <v>642</v>
      </c>
      <c r="C51" s="888"/>
      <c r="D51" s="1108"/>
      <c r="E51" s="533"/>
      <c r="F51" s="533"/>
      <c r="G51" s="533"/>
      <c r="H51" s="888"/>
      <c r="I51" s="888"/>
      <c r="J51" s="1108"/>
      <c r="O51" s="561"/>
    </row>
    <row r="52" spans="1:15" ht="25.5" hidden="1">
      <c r="A52" s="208" t="s">
        <v>643</v>
      </c>
      <c r="B52" s="209" t="s">
        <v>644</v>
      </c>
      <c r="C52" s="888"/>
      <c r="D52" s="1108"/>
      <c r="E52" s="533"/>
      <c r="F52" s="533"/>
      <c r="G52" s="533"/>
      <c r="H52" s="888"/>
      <c r="I52" s="888"/>
      <c r="J52" s="1108"/>
      <c r="O52" s="561"/>
    </row>
    <row r="53" spans="1:15" ht="25.5" hidden="1">
      <c r="A53" s="208" t="s">
        <v>645</v>
      </c>
      <c r="B53" s="209" t="s">
        <v>646</v>
      </c>
      <c r="C53" s="888"/>
      <c r="D53" s="1108"/>
      <c r="E53" s="533"/>
      <c r="F53" s="533"/>
      <c r="G53" s="533"/>
      <c r="H53" s="888"/>
      <c r="I53" s="888"/>
      <c r="J53" s="1108"/>
      <c r="O53" s="561"/>
    </row>
    <row r="54" spans="1:15" ht="25.5" hidden="1">
      <c r="A54" s="208" t="s">
        <v>647</v>
      </c>
      <c r="B54" s="209" t="s">
        <v>648</v>
      </c>
      <c r="C54" s="888"/>
      <c r="D54" s="1108"/>
      <c r="E54" s="533"/>
      <c r="F54" s="533"/>
      <c r="G54" s="533"/>
      <c r="H54" s="888"/>
      <c r="I54" s="888"/>
      <c r="J54" s="1108"/>
      <c r="O54" s="561"/>
    </row>
    <row r="55" spans="1:15" ht="30" hidden="1">
      <c r="A55" s="212" t="s">
        <v>666</v>
      </c>
      <c r="B55" s="211" t="s">
        <v>853</v>
      </c>
      <c r="C55" s="1061"/>
      <c r="D55" s="1108">
        <v>0</v>
      </c>
      <c r="E55" s="532">
        <v>0</v>
      </c>
      <c r="F55" s="532">
        <v>0</v>
      </c>
      <c r="G55" s="532"/>
      <c r="H55" s="1061"/>
      <c r="I55" s="1061">
        <v>0</v>
      </c>
      <c r="J55" s="1108"/>
      <c r="O55" s="561"/>
    </row>
    <row r="56" spans="1:15" hidden="1">
      <c r="A56" s="208" t="s">
        <v>650</v>
      </c>
      <c r="B56" s="209" t="s">
        <v>651</v>
      </c>
      <c r="C56" s="888"/>
      <c r="D56" s="1108"/>
      <c r="E56" s="533"/>
      <c r="F56" s="533"/>
      <c r="G56" s="533"/>
      <c r="H56" s="888"/>
      <c r="I56" s="888"/>
      <c r="J56" s="1108"/>
      <c r="O56" s="561"/>
    </row>
    <row r="57" spans="1:15" ht="25.5" hidden="1">
      <c r="A57" s="208" t="s">
        <v>652</v>
      </c>
      <c r="B57" s="209" t="s">
        <v>653</v>
      </c>
      <c r="C57" s="888"/>
      <c r="D57" s="1108"/>
      <c r="E57" s="533"/>
      <c r="F57" s="533"/>
      <c r="G57" s="533"/>
      <c r="H57" s="888"/>
      <c r="I57" s="888"/>
      <c r="J57" s="1108"/>
      <c r="O57" s="561"/>
    </row>
    <row r="58" spans="1:15" ht="25.5" hidden="1">
      <c r="A58" s="208" t="s">
        <v>654</v>
      </c>
      <c r="B58" s="209" t="s">
        <v>655</v>
      </c>
      <c r="C58" s="888"/>
      <c r="D58" s="1108"/>
      <c r="E58" s="533"/>
      <c r="F58" s="533"/>
      <c r="G58" s="533"/>
      <c r="H58" s="888"/>
      <c r="I58" s="888"/>
      <c r="J58" s="1108"/>
      <c r="O58" s="561"/>
    </row>
    <row r="59" spans="1:15" hidden="1">
      <c r="A59" s="208" t="s">
        <v>656</v>
      </c>
      <c r="B59" s="209" t="s">
        <v>657</v>
      </c>
      <c r="C59" s="888"/>
      <c r="D59" s="1108"/>
      <c r="E59" s="533"/>
      <c r="F59" s="533"/>
      <c r="G59" s="533"/>
      <c r="H59" s="888"/>
      <c r="I59" s="888"/>
      <c r="J59" s="1108"/>
      <c r="O59" s="561"/>
    </row>
    <row r="60" spans="1:15" hidden="1">
      <c r="A60" s="208" t="s">
        <v>658</v>
      </c>
      <c r="B60" s="209" t="s">
        <v>659</v>
      </c>
      <c r="C60" s="888"/>
      <c r="D60" s="1108"/>
      <c r="E60" s="533"/>
      <c r="F60" s="533"/>
      <c r="G60" s="533"/>
      <c r="H60" s="888"/>
      <c r="I60" s="888"/>
      <c r="J60" s="1108"/>
      <c r="O60" s="561"/>
    </row>
    <row r="61" spans="1:15" hidden="1">
      <c r="A61" s="208" t="s">
        <v>660</v>
      </c>
      <c r="B61" s="209" t="s">
        <v>661</v>
      </c>
      <c r="C61" s="888"/>
      <c r="D61" s="1108"/>
      <c r="E61" s="533"/>
      <c r="F61" s="533"/>
      <c r="G61" s="533"/>
      <c r="H61" s="888"/>
      <c r="I61" s="888"/>
      <c r="J61" s="1108"/>
      <c r="O61" s="561"/>
    </row>
    <row r="62" spans="1:15" hidden="1">
      <c r="A62" s="208" t="s">
        <v>662</v>
      </c>
      <c r="B62" s="209" t="s">
        <v>663</v>
      </c>
      <c r="C62" s="888"/>
      <c r="D62" s="1108"/>
      <c r="E62" s="533"/>
      <c r="F62" s="533"/>
      <c r="G62" s="533"/>
      <c r="H62" s="888"/>
      <c r="I62" s="888"/>
      <c r="J62" s="1108"/>
      <c r="O62" s="561"/>
    </row>
    <row r="63" spans="1:15" hidden="1">
      <c r="A63" s="208" t="s">
        <v>664</v>
      </c>
      <c r="B63" s="209" t="s">
        <v>665</v>
      </c>
      <c r="C63" s="888"/>
      <c r="D63" s="1108"/>
      <c r="E63" s="533"/>
      <c r="F63" s="533"/>
      <c r="G63" s="533"/>
      <c r="H63" s="888"/>
      <c r="I63" s="888"/>
      <c r="J63" s="1108"/>
      <c r="O63" s="561"/>
    </row>
    <row r="64" spans="1:15" ht="18.95" customHeight="1">
      <c r="A64" s="206" t="s">
        <v>679</v>
      </c>
      <c r="B64" s="207" t="s">
        <v>680</v>
      </c>
      <c r="C64" s="532">
        <v>6.016</v>
      </c>
      <c r="D64" s="532">
        <v>8.9501262999999991</v>
      </c>
      <c r="E64" s="532">
        <v>3.407</v>
      </c>
      <c r="F64" s="532">
        <v>3.9186666666666663</v>
      </c>
      <c r="G64" s="532">
        <v>7.3256666666666659</v>
      </c>
      <c r="H64" s="532">
        <v>0</v>
      </c>
      <c r="I64" s="1061">
        <v>8.3003666666666671</v>
      </c>
      <c r="J64" s="1093">
        <v>9.5669999999999984</v>
      </c>
      <c r="L64" s="561"/>
      <c r="O64" s="561"/>
    </row>
    <row r="65" spans="1:15" ht="25.5" hidden="1">
      <c r="A65" s="208" t="s">
        <v>293</v>
      </c>
      <c r="B65" s="209" t="s">
        <v>667</v>
      </c>
      <c r="C65" s="888"/>
      <c r="D65" s="1108"/>
      <c r="E65" s="533"/>
      <c r="F65" s="533"/>
      <c r="G65" s="533"/>
      <c r="H65" s="888"/>
      <c r="I65" s="888"/>
      <c r="J65" s="1108"/>
      <c r="L65" s="561"/>
      <c r="O65" s="561"/>
    </row>
    <row r="66" spans="1:15" ht="18.75" hidden="1" customHeight="1">
      <c r="A66" s="208" t="s">
        <v>668</v>
      </c>
      <c r="B66" s="209" t="s">
        <v>669</v>
      </c>
      <c r="C66" s="888"/>
      <c r="D66" s="1108"/>
      <c r="E66" s="533"/>
      <c r="F66" s="533"/>
      <c r="G66" s="533"/>
      <c r="H66" s="888"/>
      <c r="I66" s="888"/>
      <c r="J66" s="1108"/>
      <c r="L66" s="561"/>
      <c r="O66" s="561"/>
    </row>
    <row r="67" spans="1:15" ht="18.75" hidden="1" customHeight="1">
      <c r="A67" s="1121" t="s">
        <v>670</v>
      </c>
      <c r="B67" s="1122" t="s">
        <v>671</v>
      </c>
      <c r="C67" s="1060"/>
      <c r="D67" s="1123"/>
      <c r="E67" s="534"/>
      <c r="F67" s="534"/>
      <c r="G67" s="534"/>
      <c r="H67" s="1060"/>
      <c r="I67" s="1060"/>
      <c r="J67" s="1123"/>
      <c r="L67" s="561"/>
      <c r="O67" s="561"/>
    </row>
    <row r="68" spans="1:15" ht="18.75" customHeight="1">
      <c r="A68" s="826" t="s">
        <v>672</v>
      </c>
      <c r="B68" s="826" t="s">
        <v>1505</v>
      </c>
      <c r="C68" s="560">
        <v>0.92600000000000005</v>
      </c>
      <c r="D68" s="1108">
        <v>1</v>
      </c>
      <c r="E68" s="560">
        <v>0.73599999999999999</v>
      </c>
      <c r="F68" s="560">
        <v>0.24533333333333332</v>
      </c>
      <c r="G68" s="560">
        <v>0.98133333333333328</v>
      </c>
      <c r="H68" s="560"/>
      <c r="I68" s="560"/>
      <c r="J68" s="1108">
        <v>1.1000000000000001</v>
      </c>
      <c r="L68" s="561"/>
      <c r="O68" s="561"/>
    </row>
    <row r="69" spans="1:15" ht="18.75" hidden="1" customHeight="1">
      <c r="A69" s="826" t="s">
        <v>674</v>
      </c>
      <c r="B69" s="826" t="s">
        <v>675</v>
      </c>
      <c r="C69" s="560"/>
      <c r="D69" s="1108"/>
      <c r="E69" s="560"/>
      <c r="F69" s="560">
        <v>0</v>
      </c>
      <c r="G69" s="560">
        <v>0</v>
      </c>
      <c r="H69" s="560"/>
      <c r="I69" s="560"/>
      <c r="J69" s="1108"/>
      <c r="L69" s="561"/>
      <c r="O69" s="561"/>
    </row>
    <row r="70" spans="1:15" ht="18.75" hidden="1" customHeight="1">
      <c r="A70" s="826" t="s">
        <v>676</v>
      </c>
      <c r="B70" s="826" t="s">
        <v>677</v>
      </c>
      <c r="C70" s="560"/>
      <c r="D70" s="1108"/>
      <c r="E70" s="560"/>
      <c r="F70" s="560">
        <v>0</v>
      </c>
      <c r="G70" s="560">
        <v>0</v>
      </c>
      <c r="H70" s="560"/>
      <c r="I70" s="560"/>
      <c r="J70" s="1108"/>
      <c r="L70" s="561"/>
      <c r="O70" s="561"/>
    </row>
    <row r="71" spans="1:15" ht="18.95" customHeight="1">
      <c r="A71" s="826" t="s">
        <v>1173</v>
      </c>
      <c r="B71" s="826" t="s">
        <v>1174</v>
      </c>
      <c r="C71" s="560">
        <v>1.915</v>
      </c>
      <c r="D71" s="1108">
        <v>3</v>
      </c>
      <c r="E71" s="560">
        <v>1.9159999999999999</v>
      </c>
      <c r="F71" s="560">
        <v>0.6386666666666666</v>
      </c>
      <c r="G71" s="560">
        <v>2.5546666666666664</v>
      </c>
      <c r="H71" s="560"/>
      <c r="I71" s="560">
        <v>3</v>
      </c>
      <c r="J71" s="1108">
        <v>3.3</v>
      </c>
      <c r="L71" s="561"/>
      <c r="O71" s="561"/>
    </row>
    <row r="72" spans="1:15" ht="18.95" hidden="1" customHeight="1">
      <c r="A72" s="826" t="s">
        <v>1175</v>
      </c>
      <c r="B72" s="826" t="s">
        <v>1176</v>
      </c>
      <c r="C72" s="560"/>
      <c r="D72" s="1108"/>
      <c r="E72" s="560"/>
      <c r="F72" s="560">
        <v>0</v>
      </c>
      <c r="G72" s="560">
        <v>0</v>
      </c>
      <c r="H72" s="560"/>
      <c r="I72" s="560"/>
      <c r="J72" s="1108"/>
      <c r="L72" s="561"/>
      <c r="O72" s="561"/>
    </row>
    <row r="73" spans="1:15" ht="18.95" customHeight="1">
      <c r="A73" s="826" t="s">
        <v>1177</v>
      </c>
      <c r="B73" s="826" t="s">
        <v>1178</v>
      </c>
      <c r="C73" s="560">
        <v>7.8E-2</v>
      </c>
      <c r="D73" s="1108">
        <v>1</v>
      </c>
      <c r="E73" s="560">
        <v>0.06</v>
      </c>
      <c r="F73" s="560">
        <v>0.02</v>
      </c>
      <c r="G73" s="560">
        <v>0.08</v>
      </c>
      <c r="H73" s="560"/>
      <c r="I73" s="560">
        <v>1</v>
      </c>
      <c r="J73" s="1108">
        <v>1.1000000000000001</v>
      </c>
      <c r="L73" s="561"/>
      <c r="O73" s="561"/>
    </row>
    <row r="74" spans="1:15" ht="18.95" customHeight="1">
      <c r="A74" s="826" t="s">
        <v>1179</v>
      </c>
      <c r="B74" s="558" t="s">
        <v>1427</v>
      </c>
      <c r="C74" s="560">
        <v>2.089</v>
      </c>
      <c r="D74" s="1108">
        <v>2.7829999999999999</v>
      </c>
      <c r="E74" s="560"/>
      <c r="F74" s="560">
        <v>2.7829999999999999</v>
      </c>
      <c r="G74" s="560">
        <v>2.7829999999999999</v>
      </c>
      <c r="H74" s="560"/>
      <c r="I74" s="560">
        <v>3.0613000000000001</v>
      </c>
      <c r="J74" s="1108">
        <v>2.7829999999999999</v>
      </c>
      <c r="L74" s="561"/>
      <c r="O74" s="561"/>
    </row>
    <row r="75" spans="1:15">
      <c r="A75" s="826" t="s">
        <v>1428</v>
      </c>
      <c r="B75" s="996" t="s">
        <v>678</v>
      </c>
      <c r="C75" s="560">
        <v>0.153</v>
      </c>
      <c r="D75" s="1108">
        <v>0.16712630000000001</v>
      </c>
      <c r="E75" s="560">
        <v>0.16300000000000001</v>
      </c>
      <c r="F75" s="560">
        <v>5.4333333333333338E-2</v>
      </c>
      <c r="G75" s="560">
        <v>0.21733333333333335</v>
      </c>
      <c r="H75" s="560"/>
      <c r="I75" s="560">
        <v>0.23906666666666671</v>
      </c>
      <c r="J75" s="1108">
        <v>0.184</v>
      </c>
      <c r="L75" s="561"/>
      <c r="O75" s="561"/>
    </row>
    <row r="76" spans="1:15" ht="18.95" customHeight="1">
      <c r="A76" s="826" t="s">
        <v>1180</v>
      </c>
      <c r="B76" s="996" t="s">
        <v>1181</v>
      </c>
      <c r="C76" s="560">
        <v>0.85499999999999998</v>
      </c>
      <c r="D76" s="1108">
        <v>1</v>
      </c>
      <c r="E76" s="560">
        <v>0.53200000000000003</v>
      </c>
      <c r="F76" s="560">
        <v>0.17733333333333334</v>
      </c>
      <c r="G76" s="560">
        <v>0.70933333333333337</v>
      </c>
      <c r="H76" s="560"/>
      <c r="I76" s="560">
        <v>1</v>
      </c>
      <c r="J76" s="1108">
        <v>1.1000000000000001</v>
      </c>
      <c r="L76" s="561"/>
      <c r="O76" s="561"/>
    </row>
    <row r="77" spans="1:15" ht="18.95" hidden="1" customHeight="1">
      <c r="A77" s="1124"/>
      <c r="B77" s="1125" t="s">
        <v>1182</v>
      </c>
      <c r="C77" s="1059"/>
      <c r="D77" s="1119"/>
      <c r="E77" s="541"/>
      <c r="F77" s="541"/>
      <c r="G77" s="541"/>
      <c r="H77" s="1059"/>
      <c r="I77" s="1059"/>
      <c r="J77" s="1119"/>
      <c r="L77" s="561"/>
      <c r="O77" s="561"/>
    </row>
    <row r="78" spans="1:15" ht="18.95" customHeight="1">
      <c r="A78" s="316"/>
      <c r="B78" s="315" t="s">
        <v>859</v>
      </c>
      <c r="C78" s="543">
        <v>44.04999999999999</v>
      </c>
      <c r="D78" s="543">
        <v>79.823126299999998</v>
      </c>
      <c r="E78" s="543">
        <v>32.218000000000004</v>
      </c>
      <c r="F78" s="543">
        <v>6.9246666666666661</v>
      </c>
      <c r="G78" s="543">
        <v>39.142666666666663</v>
      </c>
      <c r="H78" s="543">
        <v>0</v>
      </c>
      <c r="I78" s="1111">
        <v>43.299066666666675</v>
      </c>
      <c r="J78" s="1096">
        <v>50.386900000000004</v>
      </c>
      <c r="L78" s="561"/>
      <c r="O78" s="561"/>
    </row>
    <row r="79" spans="1:15" ht="18.95" customHeight="1">
      <c r="A79" s="146"/>
      <c r="B79" s="146"/>
      <c r="C79" s="146"/>
      <c r="D79" s="146"/>
      <c r="E79" s="146"/>
      <c r="F79" s="146"/>
      <c r="G79" s="146"/>
      <c r="H79" s="146"/>
      <c r="I79" s="146"/>
    </row>
    <row r="80" spans="1:15" ht="18.95" customHeight="1">
      <c r="A80" s="146"/>
      <c r="B80" s="146"/>
      <c r="C80" s="146"/>
      <c r="D80" s="146"/>
      <c r="E80" s="146"/>
      <c r="F80" s="146"/>
      <c r="G80" s="146"/>
      <c r="H80" s="146"/>
      <c r="I80" s="146"/>
    </row>
    <row r="81" spans="1:9" ht="18.95" customHeight="1">
      <c r="A81" s="146"/>
      <c r="B81" s="146"/>
      <c r="C81" s="547"/>
      <c r="D81" s="882">
        <f>64.429+2.3-D78</f>
        <v>-13.094126299999999</v>
      </c>
      <c r="E81" s="882"/>
      <c r="F81" s="882"/>
      <c r="G81" s="146"/>
      <c r="H81" s="146"/>
      <c r="I81" s="146"/>
    </row>
    <row r="82" spans="1:9" ht="18.95" customHeight="1">
      <c r="A82" s="146"/>
      <c r="B82" s="146"/>
      <c r="C82" s="146"/>
      <c r="D82" s="146"/>
      <c r="E82" s="146"/>
      <c r="F82" s="146"/>
      <c r="G82" s="146"/>
      <c r="H82" s="146"/>
      <c r="I82" s="146"/>
    </row>
    <row r="83" spans="1:9" ht="18.95" customHeight="1">
      <c r="A83" s="146"/>
      <c r="B83" s="146"/>
      <c r="C83" s="146"/>
      <c r="D83" s="146"/>
      <c r="E83" s="146"/>
      <c r="F83" s="146"/>
      <c r="G83" s="146"/>
      <c r="H83" s="146"/>
      <c r="I83" s="146"/>
    </row>
    <row r="84" spans="1:9" ht="18.95" customHeight="1">
      <c r="A84" s="146"/>
      <c r="B84" s="146"/>
      <c r="C84" s="146"/>
      <c r="D84" s="146"/>
      <c r="E84" s="146"/>
      <c r="F84" s="146"/>
      <c r="G84" s="1279"/>
      <c r="H84" s="1279"/>
      <c r="I84" s="1279"/>
    </row>
  </sheetData>
  <mergeCells count="11">
    <mergeCell ref="J6:J7"/>
    <mergeCell ref="A8:I8"/>
    <mergeCell ref="G84:I84"/>
    <mergeCell ref="A2:I2"/>
    <mergeCell ref="A4:I4"/>
    <mergeCell ref="A6:A7"/>
    <mergeCell ref="B6:B7"/>
    <mergeCell ref="C6:C7"/>
    <mergeCell ref="I6:I7"/>
    <mergeCell ref="A3:I3"/>
    <mergeCell ref="D6:H6"/>
  </mergeCells>
  <pageMargins left="0.7" right="0.7" top="0.75" bottom="0.75" header="0.3" footer="0.3"/>
  <pageSetup scale="6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1CDE48DB6E140A96220C068474F97" ma:contentTypeVersion="1" ma:contentTypeDescription="Create a new document." ma:contentTypeScope="" ma:versionID="5840dd98023a9d39aae3db0c8b267c6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37935-5A80-43F2-B04C-1905263F4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CA48EB-D615-435B-80CD-8D9F3E8285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93F703-088D-4F97-9D36-23ED59CDC0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44</vt:i4>
      </vt:variant>
    </vt:vector>
  </HeadingPairs>
  <TitlesOfParts>
    <vt:vector size="69" baseType="lpstr">
      <vt:lpstr>Index</vt:lpstr>
      <vt:lpstr>101</vt:lpstr>
      <vt:lpstr>102(a)</vt:lpstr>
      <vt:lpstr>103</vt:lpstr>
      <vt:lpstr>104</vt:lpstr>
      <vt:lpstr>105</vt:lpstr>
      <vt:lpstr>Proposed Cut</vt:lpstr>
      <vt:lpstr>Departmental Budget</vt:lpstr>
      <vt:lpstr>103 School</vt:lpstr>
      <vt:lpstr>104 School</vt:lpstr>
      <vt:lpstr>105 School</vt:lpstr>
      <vt:lpstr>102(b)</vt:lpstr>
      <vt:lpstr>106</vt:lpstr>
      <vt:lpstr>106(a)</vt:lpstr>
      <vt:lpstr>106(b)</vt:lpstr>
      <vt:lpstr>105(a)</vt:lpstr>
      <vt:lpstr>107</vt:lpstr>
      <vt:lpstr>107 (a)</vt:lpstr>
      <vt:lpstr>107(b)</vt:lpstr>
      <vt:lpstr>107 (c)</vt:lpstr>
      <vt:lpstr>107(d)</vt:lpstr>
      <vt:lpstr>107(e)</vt:lpstr>
      <vt:lpstr>113</vt:lpstr>
      <vt:lpstr>114</vt:lpstr>
      <vt:lpstr>Subjects List</vt:lpstr>
      <vt:lpstr>'101'!Print_Area</vt:lpstr>
      <vt:lpstr>'102(a)'!Print_Area</vt:lpstr>
      <vt:lpstr>'102(b)'!Print_Area</vt:lpstr>
      <vt:lpstr>'103'!Print_Area</vt:lpstr>
      <vt:lpstr>'104'!Print_Area</vt:lpstr>
      <vt:lpstr>'104 School'!Print_Area</vt:lpstr>
      <vt:lpstr>'105'!Print_Area</vt:lpstr>
      <vt:lpstr>'105 School'!Print_Area</vt:lpstr>
      <vt:lpstr>'105(a)'!Print_Area</vt:lpstr>
      <vt:lpstr>'106'!Print_Area</vt:lpstr>
      <vt:lpstr>'106(a)'!Print_Area</vt:lpstr>
      <vt:lpstr>'106(b)'!Print_Area</vt:lpstr>
      <vt:lpstr>'107'!Print_Area</vt:lpstr>
      <vt:lpstr>'107 (a)'!Print_Area</vt:lpstr>
      <vt:lpstr>'107 (c)'!Print_Area</vt:lpstr>
      <vt:lpstr>'107(b)'!Print_Area</vt:lpstr>
      <vt:lpstr>'107(d)'!Print_Area</vt:lpstr>
      <vt:lpstr>'107(e)'!Print_Area</vt:lpstr>
      <vt:lpstr>'113'!Print_Area</vt:lpstr>
      <vt:lpstr>'114'!Print_Area</vt:lpstr>
      <vt:lpstr>'Departmental Budget'!Print_Area</vt:lpstr>
      <vt:lpstr>Index!Print_Area</vt:lpstr>
      <vt:lpstr>'Proposed Cut'!Print_Area</vt:lpstr>
      <vt:lpstr>'Subjects List'!Print_Area</vt:lpstr>
      <vt:lpstr>'102(b)'!Print_Titles</vt:lpstr>
      <vt:lpstr>'103'!Print_Titles</vt:lpstr>
      <vt:lpstr>'103 School'!Print_Titles</vt:lpstr>
      <vt:lpstr>'104'!Print_Titles</vt:lpstr>
      <vt:lpstr>'104 School'!Print_Titles</vt:lpstr>
      <vt:lpstr>'105'!Print_Titles</vt:lpstr>
      <vt:lpstr>'105 School'!Print_Titles</vt:lpstr>
      <vt:lpstr>'105(a)'!Print_Titles</vt:lpstr>
      <vt:lpstr>'106(a)'!Print_Titles</vt:lpstr>
      <vt:lpstr>'106(b)'!Print_Titles</vt:lpstr>
      <vt:lpstr>'107'!Print_Titles</vt:lpstr>
      <vt:lpstr>'107 (a)'!Print_Titles</vt:lpstr>
      <vt:lpstr>'107(b)'!Print_Titles</vt:lpstr>
      <vt:lpstr>'107(e)'!Print_Titles</vt:lpstr>
      <vt:lpstr>'113'!Print_Titles</vt:lpstr>
      <vt:lpstr>'114'!Print_Titles</vt:lpstr>
      <vt:lpstr>'Departmental Budget'!Print_Titles</vt:lpstr>
      <vt:lpstr>Index!Print_Titles</vt:lpstr>
      <vt:lpstr>'Proposed Cut'!Print_Titles</vt:lpstr>
      <vt:lpstr>'Subjects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Altaf Khan</cp:lastModifiedBy>
  <cp:lastPrinted>2020-08-12T06:22:45Z</cp:lastPrinted>
  <dcterms:created xsi:type="dcterms:W3CDTF">2013-10-23T03:18:59Z</dcterms:created>
  <dcterms:modified xsi:type="dcterms:W3CDTF">2020-08-19T04:47:19Z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0x010100E931CDE48DB6E140A96220C068474F97</vt:lpwstr>
  </property>
</Properties>
</file>